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 a fakturace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<sst xmlns="http://schemas.openxmlformats.org/spreadsheetml/2006/main" count="4346" uniqueCount="499">
  <si>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</si>
  <si>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</si>
  <si>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</si>
  <si>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</si>
  <si>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</si>
  <si>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</si>
  <si>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</si>
  <si>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</si>
  <si>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</si>
  <si>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</si>
  <si>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</si>
  <si>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</si>
  <si>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</si>
  <si>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</si>
  <si>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</si>
  <si>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</si>
  <si>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</si>
  <si>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</si>
  <si>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</si>
  <si>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</si>
  <si>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</si>
  <si>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</si>
  <si>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</si>
  <si>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</si>
  <si>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</si>
  <si>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</si>
  <si>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</si>
  <si>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</si>
  <si>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</si>
  <si>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</si>
  <si>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</si>
  <si>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</si>
  <si>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</si>
  <si>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</si>
  <si>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</si>
  <si>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</si>
  <si>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</si>
  <si>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</si>
  <si>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</si>
  <si>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</si>
  <si>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</si>
  <si>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</si>
  <si>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</si>
  <si>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</si>
  <si>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</si>
  <si>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</si>
  <si>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</si>
  <si>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</si>
  <si>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</si>
  <si>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</si>
  <si>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</si>
  <si>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</si>
  <si>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</si>
  <si>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</si>
  <si>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</si>
  <si>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</si>
  <si>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</si>
  <si>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</si>
  <si>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</si>
  <si>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</si>
  <si>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</si>
  <si>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</si>
  <si>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</si>
  <si>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</si>
  <si>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</si>
  <si>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</si>
  <si>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</si>
  <si>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</si>
  <si>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</si>
  <si>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</si>
  <si>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</si>
  <si>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</si>
  <si>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</si>
  <si>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</si>
  <si>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</si>
  <si>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</si>
  <si>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</si>
  <si>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</si>
  <si>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</si>
  <si>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</si>
  <si>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</si>
  <si>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</si>
  <si>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</si>
  <si>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</si>
  <si>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</si>
  <si>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</si>
  <si>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</si>
  <si>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</si>
  <si>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</si>
  <si>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</si>
  <si>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</si>
  <si>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</si>
  <si>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</si>
  <si>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</si>
  <si>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</si>
  <si>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</si>
  <si>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</si>
  <si>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</si>
  <si>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</si>
  <si>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</si>
  <si>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</si>
  <si>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</si>
  <si>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</si>
  <si>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</si>
  <si>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</si>
  <si>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</si>
  <si>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</si>
  <si>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</si>
  <si>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</si>
  <si>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</si>
  <si>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</si>
  <si>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</si>
  <si>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</si>
  <si>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</si>
  <si>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</si>
  <si>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</si>
  <si>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</si>
  <si>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</si>
  <si>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</si>
  <si>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</si>
  <si>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</si>
  <si>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</si>
  <si>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</si>
  <si>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</si>
  <si>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</si>
  <si>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</si>
  <si>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</si>
  <si>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</si>
  <si>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</si>
  <si>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</si>
  <si>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</si>
  <si>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</si>
  <si>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</si>
  <si>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</si>
  <si>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</si>
  <si>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</si>
  <si>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</si>
  <si>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</si>
  <si>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</si>
  <si>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</si>
  <si>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</si>
  <si>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</si>
  <si>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</si>
  <si>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</si>
  <si>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</si>
  <si>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</si>
  <si>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</si>
  <si>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</si>
  <si>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</si>
  <si>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</si>
  <si>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Poznámka:</t>
  </si>
  <si>
    <t>Objekt</t>
  </si>
  <si>
    <t>Kód</t>
  </si>
  <si>
    <t>349234841R00</t>
  </si>
  <si>
    <t>612425931RT2</t>
  </si>
  <si>
    <t>610991111R00</t>
  </si>
  <si>
    <t>612</t>
  </si>
  <si>
    <t>612VD</t>
  </si>
  <si>
    <t>641952341R00</t>
  </si>
  <si>
    <t>641960000R00</t>
  </si>
  <si>
    <t>642952220R00</t>
  </si>
  <si>
    <t>648952421RT3</t>
  </si>
  <si>
    <t>764</t>
  </si>
  <si>
    <t>764900050RAC</t>
  </si>
  <si>
    <t>764510250R00</t>
  </si>
  <si>
    <t>766</t>
  </si>
  <si>
    <t>766dvVD</t>
  </si>
  <si>
    <t>766VOVD</t>
  </si>
  <si>
    <t>766661821R00</t>
  </si>
  <si>
    <t>766661831R00</t>
  </si>
  <si>
    <t>767</t>
  </si>
  <si>
    <t>767649191R00</t>
  </si>
  <si>
    <t>54917025</t>
  </si>
  <si>
    <t>784</t>
  </si>
  <si>
    <t>784161501R00</t>
  </si>
  <si>
    <t>784165622R00</t>
  </si>
  <si>
    <t>786</t>
  </si>
  <si>
    <t>786612200R00</t>
  </si>
  <si>
    <t>61140678</t>
  </si>
  <si>
    <t>968061112R00</t>
  </si>
  <si>
    <t>968062356R00</t>
  </si>
  <si>
    <t>968062456R00</t>
  </si>
  <si>
    <t>968061126R00</t>
  </si>
  <si>
    <t>968062991R00</t>
  </si>
  <si>
    <t>967031132R00</t>
  </si>
  <si>
    <t>H01</t>
  </si>
  <si>
    <t>998011018R00</t>
  </si>
  <si>
    <t>998011019R00</t>
  </si>
  <si>
    <t>H766</t>
  </si>
  <si>
    <t>998766102R00</t>
  </si>
  <si>
    <t>S</t>
  </si>
  <si>
    <t>979011111R00</t>
  </si>
  <si>
    <t>979082212R00</t>
  </si>
  <si>
    <t>979083116R00</t>
  </si>
  <si>
    <t>979990162R00</t>
  </si>
  <si>
    <t>968072455R00</t>
  </si>
  <si>
    <t>968061125R00</t>
  </si>
  <si>
    <t>Výměna oken na historické budově</t>
  </si>
  <si>
    <t>školství</t>
  </si>
  <si>
    <t>Sobotní 116, Valtice</t>
  </si>
  <si>
    <t>Zkrácený popis</t>
  </si>
  <si>
    <t>Rozměry</t>
  </si>
  <si>
    <t>Fasáda čelní východní</t>
  </si>
  <si>
    <t>Stěny a příčky</t>
  </si>
  <si>
    <t>Doplnění zdiva říms pod i nadokenních</t>
  </si>
  <si>
    <t>1,15*25*2+2,3*2*25</t>
  </si>
  <si>
    <t>Úprava povrchů vnitřní</t>
  </si>
  <si>
    <t>Omítka vápenná vnitřního ostění - štuková</t>
  </si>
  <si>
    <t>1,2*0,45*25+2,3*0,45*25*2+2,35*0,3*3+3,05*0,3*2+1,45*0,3</t>
  </si>
  <si>
    <t>Zakrývání výplní vnitřních otvorů</t>
  </si>
  <si>
    <t>1,2*2,3*25+2,35*2,35+3,6*1,45+3,05*1,45</t>
  </si>
  <si>
    <t>stěn</t>
  </si>
  <si>
    <t>HZS - opravy spojené s výměnou prvků nezměřitelné - 2hod/otvor</t>
  </si>
  <si>
    <t>28*2</t>
  </si>
  <si>
    <t>Výplně otvorů</t>
  </si>
  <si>
    <t>Osazení rámů okenních dřevěných, plocha do 4 m2</t>
  </si>
  <si>
    <t>25+1</t>
  </si>
  <si>
    <t>Těsnění spár otvorových prvků PU pěnou</t>
  </si>
  <si>
    <t>2,3*25*2+1,15*25*2+2,35*4</t>
  </si>
  <si>
    <t>3,05*2+1,45</t>
  </si>
  <si>
    <t>Osazení zárubní dveřních dřevěných, pl. do 4 m2</t>
  </si>
  <si>
    <t>Osazení parapetních desek dřevěných š. do 50 cm</t>
  </si>
  <si>
    <t>1,3*25</t>
  </si>
  <si>
    <t>Konstrukce klempířské</t>
  </si>
  <si>
    <t>Demontáž oplechování parapetů</t>
  </si>
  <si>
    <t>1,8*25+2,35</t>
  </si>
  <si>
    <t>Oplechování parapetů včetně rohů z Cu, rš 330 mm</t>
  </si>
  <si>
    <t>Konstrukce truhlářské</t>
  </si>
  <si>
    <t>Repase vstupních historická dveří pol.D1 dle popisu tech.zpr.</t>
  </si>
  <si>
    <t>Dodávka vstupních dveří s nadsvětlíkem pol.D2 dle popisu tech.zpr.</t>
  </si>
  <si>
    <t>Dodávka oken pol.1 - 115/230cm dle popisu tech.zpr.</t>
  </si>
  <si>
    <t>Dodávka oken pol.2 - 235/235cm dle popisu tech.zpr.</t>
  </si>
  <si>
    <t>Demontáž samozavírače</t>
  </si>
  <si>
    <t>Demontáž stavěče křídel</t>
  </si>
  <si>
    <t>Konstrukce doplňkové stavební (zámečnické)</t>
  </si>
  <si>
    <t>Montáž doplňků dveří, samozavírače hydraulického</t>
  </si>
  <si>
    <t>Zavírač dveří hydraulický R 12  č.14  zlatá bronz</t>
  </si>
  <si>
    <t>Malby</t>
  </si>
  <si>
    <t>Penetrace podkladu nátěrem HET, Brillant 100, 1 x</t>
  </si>
  <si>
    <t>69,63</t>
  </si>
  <si>
    <t>Malba HET Brillant 100, barva, bez penetrace,2x</t>
  </si>
  <si>
    <t>Čalounické úpravy</t>
  </si>
  <si>
    <t>Montáž rolet zastiňovacích textilních vnitřních</t>
  </si>
  <si>
    <t>1,3*2,3*25</t>
  </si>
  <si>
    <t>Roleta vnitřní zastiňovací 130/250cm</t>
  </si>
  <si>
    <t>Bourání konstrukcí</t>
  </si>
  <si>
    <t>Vyvěšení dřevěných okenních křídel pl. do 1,5 m2</t>
  </si>
  <si>
    <t>6*12+6*13+6</t>
  </si>
  <si>
    <t>Vybourání dřevěných rámů oken dvojitých pl. 4 m2</t>
  </si>
  <si>
    <t>1,15*2,28*25+2,35*2,35*1</t>
  </si>
  <si>
    <t>Vybourání dřevěných dveřních zárubní pl. nad 2 m2</t>
  </si>
  <si>
    <t>1,45*3,6+1,45*3,05</t>
  </si>
  <si>
    <t>Vyvěšení dřevěných dveřních křídel pl. nad 2 m2</t>
  </si>
  <si>
    <t>2+2</t>
  </si>
  <si>
    <t>Vybourání dřevěných parapetů</t>
  </si>
  <si>
    <t>1,25*0,4*25</t>
  </si>
  <si>
    <t>Přisekání rovných ostění cihelných na MVC</t>
  </si>
  <si>
    <t>0,35*2,3*2*25+1,15*0,35*25+2,35*0,3*3+3,05*0,3*2+1,45*0,3*1</t>
  </si>
  <si>
    <t>Budovy občanské výstavby</t>
  </si>
  <si>
    <t>Přesun hmot, budovy zděné, příplatek do 5 km</t>
  </si>
  <si>
    <t>22,98</t>
  </si>
  <si>
    <t>Přesun hmot, budovy zděné, přípl. za dalších 5 km</t>
  </si>
  <si>
    <t>22,98*20</t>
  </si>
  <si>
    <t>Přesun hmot pro truhlářské konstr., výšky do 12 m</t>
  </si>
  <si>
    <t>15,77+2,43+2,1+0,28+2,35+0,05</t>
  </si>
  <si>
    <t>Přesuny sutí</t>
  </si>
  <si>
    <t>Svislá doprava suti a vybour. hmot za 2.NP a 1.PP</t>
  </si>
  <si>
    <t>0,28+7,62</t>
  </si>
  <si>
    <t>Vodorovná doprava suti po suchu do 50 m</t>
  </si>
  <si>
    <t>7,9</t>
  </si>
  <si>
    <t>Vodorovné přemístění suti na skládku do 5000 m</t>
  </si>
  <si>
    <t>Poplatek za skládku suti - dřevo+sklo</t>
  </si>
  <si>
    <t>Fasáda boční jižní</t>
  </si>
  <si>
    <t>1,15*12*2+2,3*2*12</t>
  </si>
  <si>
    <t>1,2*0,45*12+2,3*0,45*12*2</t>
  </si>
  <si>
    <t>1,2*2,3*12</t>
  </si>
  <si>
    <t>12*2</t>
  </si>
  <si>
    <t>2,3*12*2+1,15*12*2</t>
  </si>
  <si>
    <t>1,3*12</t>
  </si>
  <si>
    <t>1,8*12</t>
  </si>
  <si>
    <t>1,3*2,3*12</t>
  </si>
  <si>
    <t>6*12</t>
  </si>
  <si>
    <t>1,15*2,28*12</t>
  </si>
  <si>
    <t>1,25*0,4*12</t>
  </si>
  <si>
    <t>0,35*2,3*2*12+1,15*0,35*12</t>
  </si>
  <si>
    <t>10,72</t>
  </si>
  <si>
    <t>10,72*20</t>
  </si>
  <si>
    <t>7,57+1,09+0,97+0,13+0,96</t>
  </si>
  <si>
    <t>3,08</t>
  </si>
  <si>
    <t>Fasáda zadní západní</t>
  </si>
  <si>
    <t>1,15*8*2+2,3*2*8</t>
  </si>
  <si>
    <t>1,2*0,45*8+2,3*0,45*8*2+2,4*0,45*3+1,1*0,45*3*2+1,45*0,3+3,05*0,3*2</t>
  </si>
  <si>
    <t>1,2*2,3*8+2,4*1,1*3+3,05*1,45</t>
  </si>
  <si>
    <t>13*2</t>
  </si>
  <si>
    <t>8+3</t>
  </si>
  <si>
    <t>2,3*8*2+1,15*8*2+2,4*3*2+1,1*3*2</t>
  </si>
  <si>
    <t>1,3*8+2,4*3</t>
  </si>
  <si>
    <t>1,8*8+2,4*3</t>
  </si>
  <si>
    <t>Dodávka oken pol.3 - 240/110cm dle popisu tech.zpr.</t>
  </si>
  <si>
    <t>Dodávka vstupních dveří s nadsvětlíkem pol.D3 dle popisu tech.zpr.</t>
  </si>
  <si>
    <t>29,35</t>
  </si>
  <si>
    <t>1,3*2,3*8</t>
  </si>
  <si>
    <t>6*8+8*3</t>
  </si>
  <si>
    <t>1,15*2,28*8+2,4*1,1*3</t>
  </si>
  <si>
    <t>1,45*3,05</t>
  </si>
  <si>
    <t>1,25*0,4*8+2,4*0,4*2</t>
  </si>
  <si>
    <t>0,35*2,3*2*8+1,15*0,35*8+2,4*0,3*3+1,1*0,35*3*2+3,05*0,3*2+1,45*0,3*1</t>
  </si>
  <si>
    <t>8,2</t>
  </si>
  <si>
    <t>8,2*20</t>
  </si>
  <si>
    <t>5,05+1,03+0,95+0,13+1,02+0,02</t>
  </si>
  <si>
    <t>3,17</t>
  </si>
  <si>
    <t>Fasáda boční severní</t>
  </si>
  <si>
    <t>1,15*9*2+2,3*2*9</t>
  </si>
  <si>
    <t>1,2*0,45*9+2,3*0,45*9*2+2,35*0,3*3*2</t>
  </si>
  <si>
    <t>1,2*2,3*9+2,35*2,35*2</t>
  </si>
  <si>
    <t>11*2</t>
  </si>
  <si>
    <t>9+2</t>
  </si>
  <si>
    <t>2,3*9*2+1,15*9*2+2,35*4*2</t>
  </si>
  <si>
    <t>1,3*9</t>
  </si>
  <si>
    <t>1,8*9+2,35*2</t>
  </si>
  <si>
    <t>27,72</t>
  </si>
  <si>
    <t>1,3*2,3*9</t>
  </si>
  <si>
    <t>6*9+6*2</t>
  </si>
  <si>
    <t>1,15*2,28*9+2,35*2,35*2</t>
  </si>
  <si>
    <t>1,25*0,4*9</t>
  </si>
  <si>
    <t>0,35*2,3*2*9+1,15*0,35*9+2,35*0,3*3*2</t>
  </si>
  <si>
    <t>Vybourání kovových dveřních zárubní pl. do 2 m2</t>
  </si>
  <si>
    <t>Vyvěšení dřevěných dveřních křídel pl. do 2 m2</t>
  </si>
  <si>
    <t>8,51</t>
  </si>
  <si>
    <t>8,51*20</t>
  </si>
  <si>
    <t>5,68+0,97+0,85+0,12+0,87+0,02</t>
  </si>
  <si>
    <t>3,15</t>
  </si>
  <si>
    <t>Okna vnitrobloku</t>
  </si>
  <si>
    <t>1,2*0,45*1+2,3*0,45*1*2</t>
  </si>
  <si>
    <t>1,2*2,3</t>
  </si>
  <si>
    <t>1*2</t>
  </si>
  <si>
    <t>2,3*2+1,15*2</t>
  </si>
  <si>
    <t>1,3</t>
  </si>
  <si>
    <t>1,8</t>
  </si>
  <si>
    <t>2,61</t>
  </si>
  <si>
    <t>1,15*2,28</t>
  </si>
  <si>
    <t>1,25*0,4</t>
  </si>
  <si>
    <t>0,35*2,3*2+1,15*0,35</t>
  </si>
  <si>
    <t>0,26</t>
  </si>
  <si>
    <t>0,26*20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</si>
  <si>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</si>
  <si>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</si>
  <si>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</si>
  <si>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</si>
  <si>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</si>
  <si>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</si>
  <si>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</si>
  <si>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hod</t>
  </si>
  <si>
    <t>kus</t>
  </si>
  <si>
    <t>ks</t>
  </si>
  <si>
    <t>kompl.</t>
  </si>
  <si>
    <t>t</t>
  </si>
  <si>
    <t>Množství</t>
  </si>
  <si>
    <t>04.09.2018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</si>
  <si>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</si>
  <si>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</si>
  <si>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</si>
  <si>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</si>
  <si>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</si>
  <si>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</si>
  <si>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</si>
  <si>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</si>
  <si>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</si>
  <si>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</si>
  <si>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Střední vinařská škola Valtice</t>
  </si>
  <si>
    <t>Ing.Zbyněk Rabušic</t>
  </si>
  <si>
    <t>dle výběrového řízení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</si>
  <si>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</si>
  <si>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</si>
  <si>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</si>
  <si>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</si>
  <si>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</si>
  <si>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</si>
  <si>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</si>
  <si>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</si>
  <si>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</si>
  <si>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</si>
  <si>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</si>
  <si>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</si>
  <si>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</si>
  <si>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</si>
  <si>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</si>
  <si>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</si>
  <si>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612_</t>
  </si>
  <si>
    <t>64_</t>
  </si>
  <si>
    <t>764_</t>
  </si>
  <si>
    <t>766_</t>
  </si>
  <si>
    <t>767_</t>
  </si>
  <si>
    <t>784_</t>
  </si>
  <si>
    <t>786_</t>
  </si>
  <si>
    <t>96_</t>
  </si>
  <si>
    <t>H01_</t>
  </si>
  <si>
    <t>H766_</t>
  </si>
  <si>
    <t>S_</t>
  </si>
  <si>
    <t>1_3_</t>
  </si>
  <si>
    <t>1_6_</t>
  </si>
  <si>
    <t>1_76_</t>
  </si>
  <si>
    <t>1_78_</t>
  </si>
  <si>
    <t>1_9_</t>
  </si>
  <si>
    <t>2_3_</t>
  </si>
  <si>
    <t>2_6_</t>
  </si>
  <si>
    <t>2_76_</t>
  </si>
  <si>
    <t>2_78_</t>
  </si>
  <si>
    <t>2_9_</t>
  </si>
  <si>
    <t>3_3_</t>
  </si>
  <si>
    <t>3_6_</t>
  </si>
  <si>
    <t>3_76_</t>
  </si>
  <si>
    <t>3_78_</t>
  </si>
  <si>
    <t>3_9_</t>
  </si>
  <si>
    <t>4_3_</t>
  </si>
  <si>
    <t>4_6_</t>
  </si>
  <si>
    <t>4_76_</t>
  </si>
  <si>
    <t>4_78_</t>
  </si>
  <si>
    <t>4_9_</t>
  </si>
  <si>
    <t>5_6_</t>
  </si>
  <si>
    <t>5_76_</t>
  </si>
  <si>
    <t>5_78_</t>
  </si>
  <si>
    <t>5_9_</t>
  </si>
  <si>
    <t>1_</t>
  </si>
  <si>
    <t>2_</t>
  </si>
  <si>
    <t>3_</t>
  </si>
  <si>
    <t>4_</t>
  </si>
  <si>
    <t>5_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</si>
  <si>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</si>
  <si>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</si>
  <si>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</si>
  <si>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</si>
  <si>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</si>
  <si>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</si>
  <si>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</si>
  <si>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Výkaz výměr</t>
  </si>
  <si>
    <t>Cenová soustava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</si>
  <si>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</si>
  <si>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</si>
  <si>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</si>
  <si>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</si>
  <si>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</si>
  <si>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</si>
  <si>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</si>
  <si>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</si>
  <si>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</si>
  <si>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</si>
  <si>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</si>
  <si>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</si>
  <si>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</si>
  <si>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</si>
  <si>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</si>
  <si>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</si>
  <si>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</si>
  <si>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</si>
  <si>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</si>
  <si>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</si>
  <si>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</si>
  <si>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</si>
  <si>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</si>
  <si>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</si>
  <si>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</si>
  <si>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</si>
  <si>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</si>
  <si>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</si>
  <si>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</si>
  <si>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</si>
  <si>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</si>
  <si>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</si>
  <si>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</si>
  <si>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</si>
  <si>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</si>
  <si>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</si>
  <si>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</si>
  <si>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</si>
  <si>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</si>
  <si>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</si>
  <si>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</si>
  <si>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</si>
  <si>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</si>
  <si>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</si>
  <si>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</si>
  <si>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</si>
  <si>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</si>
  <si>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</si>
  <si>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</si>
  <si>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</si>
  <si>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</si>
  <si>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</si>
  <si>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</si>
  <si>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</si>
  <si>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</si>
  <si>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</si>
  <si>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</si>
  <si>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</si>
  <si>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</si>
  <si>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Výměna oken na historické budově </t>
  </si>
  <si>
    <t xml:space="preserve">  </t>
  </si>
  <si>
    <t xml:space="preserve">Sobotní 116, Valtice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</si>
</sst>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0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6" fillId="0" borderId="30" xfId="0" applyNumberFormat="1" applyFont="1" applyFill="1" applyBorder="1" applyAlignment="1" applyProtection="1">
      <alignment horizontal="right" vertical="center"/>
      <protection/>
    </xf>
    <xf numFmtId="4" fontId="7" fillId="0" borderId="30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" fontId="9" fillId="33" borderId="31" xfId="0" applyNumberFormat="1" applyFont="1" applyFill="1" applyBorder="1" applyAlignment="1" applyProtection="1">
      <alignment horizontal="right" vertical="center"/>
      <protection/>
    </xf>
    <xf numFmtId="4" fontId="10" fillId="34" borderId="30" xfId="0" applyNumberFormat="1" applyFont="1" applyFill="1" applyBorder="1" applyAlignment="1" applyProtection="1">
      <alignment horizontal="right" vertical="center"/>
      <protection/>
    </xf>
    <xf numFmtId="4" fontId="9" fillId="33" borderId="30" xfId="0" applyNumberFormat="1" applyFont="1" applyFill="1" applyBorder="1" applyAlignment="1" applyProtection="1">
      <alignment horizontal="right" vertical="center"/>
      <protection/>
    </xf>
    <xf numFmtId="4" fontId="9" fillId="33" borderId="32" xfId="0" applyNumberFormat="1" applyFont="1" applyFill="1" applyBorder="1" applyAlignment="1" applyProtection="1">
      <alignment horizontal="right" vertical="center"/>
      <protection/>
    </xf>
    <xf numFmtId="4" fontId="10" fillId="34" borderId="25" xfId="0" applyNumberFormat="1" applyFont="1" applyFill="1" applyBorder="1" applyAlignment="1" applyProtection="1">
      <alignment horizontal="right" vertical="center"/>
      <protection/>
    </xf>
    <xf numFmtId="4" fontId="6" fillId="0" borderId="25" xfId="0" applyNumberFormat="1" applyFont="1" applyFill="1" applyBorder="1" applyAlignment="1" applyProtection="1">
      <alignment horizontal="right" vertical="center"/>
      <protection/>
    </xf>
    <xf numFmtId="4" fontId="7" fillId="0" borderId="25" xfId="0" applyNumberFormat="1" applyFont="1" applyFill="1" applyBorder="1" applyAlignment="1" applyProtection="1">
      <alignment horizontal="right" vertical="center"/>
      <protection/>
    </xf>
    <xf numFmtId="4" fontId="9" fillId="33" borderId="25" xfId="0" applyNumberFormat="1" applyFont="1" applyFill="1" applyBorder="1" applyAlignment="1" applyProtection="1">
      <alignment horizontal="right" vertical="center"/>
      <protection/>
    </xf>
    <xf numFmtId="49" fontId="13" fillId="35" borderId="33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15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5" fillId="0" borderId="33" xfId="0" applyNumberFormat="1" applyFont="1" applyFill="1" applyBorder="1" applyAlignment="1" applyProtection="1">
      <alignment horizontal="right" vertical="center"/>
      <protection/>
    </xf>
    <xf numFmtId="49" fontId="15" fillId="0" borderId="33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4" fontId="14" fillId="35" borderId="4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166" fontId="6" fillId="0" borderId="12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166" fontId="11" fillId="0" borderId="0" xfId="0" applyNumberFormat="1" applyFont="1" applyFill="1" applyBorder="1" applyAlignment="1" applyProtection="1">
      <alignment horizontal="right" vertical="center"/>
      <protection/>
    </xf>
    <xf numFmtId="166" fontId="11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right" vertical="center"/>
      <protection/>
    </xf>
    <xf numFmtId="0" fontId="3" fillId="0" borderId="51" xfId="0" applyNumberFormat="1" applyFont="1" applyFill="1" applyBorder="1" applyAlignment="1" applyProtection="1">
      <alignment horizontal="right" vertical="center"/>
      <protection/>
    </xf>
    <xf numFmtId="0" fontId="3" fillId="0" borderId="52" xfId="0" applyNumberFormat="1" applyFont="1" applyFill="1" applyBorder="1" applyAlignment="1" applyProtection="1">
      <alignment horizontal="right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12" fillId="0" borderId="55" xfId="0" applyNumberFormat="1" applyFont="1" applyFill="1" applyBorder="1" applyAlignment="1" applyProtection="1">
      <alignment horizontal="center" vertical="center"/>
      <protection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49" fontId="16" fillId="0" borderId="41" xfId="0" applyNumberFormat="1" applyFont="1" applyFill="1" applyBorder="1" applyAlignment="1" applyProtection="1">
      <alignment horizontal="left" vertical="center"/>
      <protection/>
    </xf>
    <xf numFmtId="0" fontId="16" fillId="0" borderId="42" xfId="0" applyNumberFormat="1" applyFont="1" applyFill="1" applyBorder="1" applyAlignment="1" applyProtection="1">
      <alignment horizontal="left" vertical="center"/>
      <protection/>
    </xf>
    <xf numFmtId="49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49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49" fontId="14" fillId="35" borderId="41" xfId="0" applyNumberFormat="1" applyFont="1" applyFill="1" applyBorder="1" applyAlignment="1" applyProtection="1">
      <alignment horizontal="left" vertical="center"/>
      <protection/>
    </xf>
    <xf numFmtId="0" fontId="14" fillId="35" borderId="55" xfId="0" applyNumberFormat="1" applyFont="1" applyFill="1" applyBorder="1" applyAlignment="1" applyProtection="1">
      <alignment horizontal="left" vertical="center"/>
      <protection/>
    </xf>
    <xf numFmtId="49" fontId="15" fillId="0" borderId="32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31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49" fontId="15" fillId="0" borderId="56" xfId="0" applyNumberFormat="1" applyFont="1" applyFill="1" applyBorder="1" applyAlignment="1" applyProtection="1">
      <alignment horizontal="left" vertical="center"/>
      <protection/>
    </xf>
    <xf numFmtId="0" fontId="15" fillId="0" borderId="48" xfId="0" applyNumberFormat="1" applyFont="1" applyFill="1" applyBorder="1" applyAlignment="1" applyProtection="1">
      <alignment horizontal="left" vertical="center"/>
      <protection/>
    </xf>
    <xf numFmtId="0" fontId="15" fillId="0" borderId="5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6" sqref="D6:D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1.710937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ht="12.75">
      <c r="A2" s="92" t="s">
        <v>1</v>
      </c>
      <c r="B2" s="93"/>
      <c r="C2" s="93"/>
      <c r="D2" s="96" t="s">
        <v>496</v>
      </c>
      <c r="E2" s="98" t="s">
        <v>345</v>
      </c>
      <c r="F2" s="93"/>
      <c r="G2" s="98" t="s">
        <v>6</v>
      </c>
      <c r="H2" s="93"/>
      <c r="I2" s="99" t="s">
        <v>364</v>
      </c>
      <c r="J2" s="99" t="s">
        <v>369</v>
      </c>
      <c r="K2" s="93"/>
      <c r="L2" s="93"/>
      <c r="M2" s="100"/>
      <c r="N2" s="35"/>
    </row>
    <row r="3" spans="1:14" ht="12.75">
      <c r="A3" s="94"/>
      <c r="B3" s="95"/>
      <c r="C3" s="95"/>
      <c r="D3" s="97"/>
      <c r="E3" s="95"/>
      <c r="F3" s="95"/>
      <c r="G3" s="95"/>
      <c r="H3" s="95"/>
      <c r="I3" s="95"/>
      <c r="J3" s="95"/>
      <c r="K3" s="95"/>
      <c r="L3" s="95"/>
      <c r="M3" s="101"/>
      <c r="N3" s="35"/>
    </row>
    <row r="4" spans="1:14" ht="12.75">
      <c r="A4" s="102" t="s">
        <v>2</v>
      </c>
      <c r="B4" s="95"/>
      <c r="C4" s="95"/>
      <c r="D4" s="103" t="s">
        <v>198</v>
      </c>
      <c r="E4" s="104" t="s">
        <v>346</v>
      </c>
      <c r="F4" s="95"/>
      <c r="G4" s="104" t="s">
        <v>6</v>
      </c>
      <c r="H4" s="95"/>
      <c r="I4" s="103" t="s">
        <v>365</v>
      </c>
      <c r="J4" s="103" t="s">
        <v>370</v>
      </c>
      <c r="K4" s="95"/>
      <c r="L4" s="95"/>
      <c r="M4" s="101"/>
      <c r="N4" s="35"/>
    </row>
    <row r="5" spans="1:14" ht="12.7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101"/>
      <c r="N5" s="35"/>
    </row>
    <row r="6" spans="1:14" ht="12.75">
      <c r="A6" s="102" t="s">
        <v>3</v>
      </c>
      <c r="B6" s="95"/>
      <c r="C6" s="95"/>
      <c r="D6" s="103" t="s">
        <v>498</v>
      </c>
      <c r="E6" s="104" t="s">
        <v>347</v>
      </c>
      <c r="F6" s="95"/>
      <c r="G6" s="104" t="s">
        <v>6</v>
      </c>
      <c r="H6" s="95"/>
      <c r="I6" s="103" t="s">
        <v>366</v>
      </c>
      <c r="J6" s="103" t="s">
        <v>371</v>
      </c>
      <c r="K6" s="95"/>
      <c r="L6" s="95"/>
      <c r="M6" s="101"/>
      <c r="N6" s="35"/>
    </row>
    <row r="7" spans="1:14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101"/>
      <c r="N7" s="35"/>
    </row>
    <row r="8" spans="1:14" ht="12.75">
      <c r="A8" s="102" t="s">
        <v>4</v>
      </c>
      <c r="B8" s="95"/>
      <c r="C8" s="95"/>
      <c r="D8" s="103" t="s">
        <v>497</v>
      </c>
      <c r="E8" s="104" t="s">
        <v>348</v>
      </c>
      <c r="F8" s="95"/>
      <c r="G8" s="104" t="s">
        <v>358</v>
      </c>
      <c r="H8" s="95"/>
      <c r="I8" s="103" t="s">
        <v>367</v>
      </c>
      <c r="J8" s="103" t="s">
        <v>370</v>
      </c>
      <c r="K8" s="95"/>
      <c r="L8" s="95"/>
      <c r="M8" s="101"/>
      <c r="N8" s="35"/>
    </row>
    <row r="9" spans="1:14" ht="12.7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35"/>
    </row>
    <row r="10" spans="1:14" ht="12.75">
      <c r="A10" s="1" t="s">
        <v>5</v>
      </c>
      <c r="B10" s="11" t="s">
        <v>151</v>
      </c>
      <c r="C10" s="11" t="s">
        <v>152</v>
      </c>
      <c r="D10" s="11" t="s">
        <v>200</v>
      </c>
      <c r="E10" s="11" t="s">
        <v>349</v>
      </c>
      <c r="F10" s="20" t="s">
        <v>357</v>
      </c>
      <c r="G10" s="23" t="s">
        <v>359</v>
      </c>
      <c r="H10" s="105" t="s">
        <v>361</v>
      </c>
      <c r="I10" s="106"/>
      <c r="J10" s="107"/>
      <c r="K10" s="105" t="s">
        <v>373</v>
      </c>
      <c r="L10" s="107"/>
      <c r="M10" s="31" t="s">
        <v>374</v>
      </c>
      <c r="N10" s="36"/>
    </row>
    <row r="11" spans="1:24" ht="12.75">
      <c r="A11" s="2" t="s">
        <v>6</v>
      </c>
      <c r="B11" s="12" t="s">
        <v>6</v>
      </c>
      <c r="C11" s="12" t="s">
        <v>6</v>
      </c>
      <c r="D11" s="16" t="s">
        <v>201</v>
      </c>
      <c r="E11" s="12" t="s">
        <v>6</v>
      </c>
      <c r="F11" s="12" t="s">
        <v>6</v>
      </c>
      <c r="G11" s="24" t="s">
        <v>360</v>
      </c>
      <c r="H11" s="25" t="s">
        <v>362</v>
      </c>
      <c r="I11" s="26" t="s">
        <v>368</v>
      </c>
      <c r="J11" s="27" t="s">
        <v>372</v>
      </c>
      <c r="K11" s="25" t="s">
        <v>359</v>
      </c>
      <c r="L11" s="27" t="s">
        <v>372</v>
      </c>
      <c r="M11" s="32" t="s">
        <v>375</v>
      </c>
      <c r="N11" s="36"/>
      <c r="P11" s="29" t="s">
        <v>377</v>
      </c>
      <c r="Q11" s="29" t="s">
        <v>378</v>
      </c>
      <c r="R11" s="29" t="s">
        <v>379</v>
      </c>
      <c r="S11" s="29" t="s">
        <v>380</v>
      </c>
      <c r="T11" s="29" t="s">
        <v>381</v>
      </c>
      <c r="U11" s="29" t="s">
        <v>382</v>
      </c>
      <c r="V11" s="29" t="s">
        <v>383</v>
      </c>
      <c r="W11" s="29" t="s">
        <v>384</v>
      </c>
      <c r="X11" s="29" t="s">
        <v>385</v>
      </c>
    </row>
    <row r="12" spans="1:13" ht="12.75">
      <c r="A12" s="3"/>
      <c r="B12" s="13" t="s">
        <v>7</v>
      </c>
      <c r="C12" s="13"/>
      <c r="D12" s="13" t="s">
        <v>202</v>
      </c>
      <c r="E12" s="3" t="s">
        <v>6</v>
      </c>
      <c r="F12" s="3" t="s">
        <v>6</v>
      </c>
      <c r="G12" s="3" t="s">
        <v>6</v>
      </c>
      <c r="H12" s="39">
        <f>H13+H16+H21+H24+H34+H39+H52+H57+H62+H67+H80+H85+H88</f>
        <v>0</v>
      </c>
      <c r="I12" s="39">
        <f>I13+I16+I21+I24+I34+I39+I52+I57+I62+I67+I80+I85+I88</f>
        <v>0</v>
      </c>
      <c r="J12" s="39">
        <f>H12+I12</f>
        <v>0</v>
      </c>
      <c r="K12" s="28"/>
      <c r="L12" s="39">
        <f>L13+L16+L21+L24+L34+L39+L52+L57+L62+L67+L80+L85+L88</f>
        <v>30.6624244</v>
      </c>
      <c r="M12" s="28"/>
    </row>
    <row r="13" spans="1:37" ht="12.75">
      <c r="A13" s="4"/>
      <c r="B13" s="14" t="s">
        <v>7</v>
      </c>
      <c r="C13" s="14" t="s">
        <v>40</v>
      </c>
      <c r="D13" s="14" t="s">
        <v>203</v>
      </c>
      <c r="E13" s="4" t="s">
        <v>6</v>
      </c>
      <c r="F13" s="4" t="s">
        <v>6</v>
      </c>
      <c r="G13" s="4" t="s">
        <v>6</v>
      </c>
      <c r="H13" s="40">
        <f>SUM(H14:H14)</f>
        <v>0</v>
      </c>
      <c r="I13" s="40">
        <f>SUM(I14:I14)</f>
        <v>0</v>
      </c>
      <c r="J13" s="40">
        <f>H13+I13</f>
        <v>0</v>
      </c>
      <c r="K13" s="29"/>
      <c r="L13" s="40">
        <f>SUM(L14:L14)</f>
        <v>15.766499999999999</v>
      </c>
      <c r="M13" s="29"/>
      <c r="Y13" s="29" t="s">
        <v>7</v>
      </c>
      <c r="AI13" s="40">
        <f>SUM(Z14:Z14)</f>
        <v>0</v>
      </c>
      <c r="AJ13" s="40">
        <f>SUM(AA14:AA14)</f>
        <v>0</v>
      </c>
      <c r="AK13" s="40">
        <f>SUM(AB14:AB14)</f>
        <v>0</v>
      </c>
    </row>
    <row r="14" spans="1:48" ht="12.75">
      <c r="A14" s="5" t="s">
        <v>7</v>
      </c>
      <c r="B14" s="5" t="s">
        <v>7</v>
      </c>
      <c r="C14" s="5" t="s">
        <v>153</v>
      </c>
      <c r="D14" s="5" t="s">
        <v>204</v>
      </c>
      <c r="E14" s="5" t="s">
        <v>350</v>
      </c>
      <c r="F14" s="86">
        <v>172.5</v>
      </c>
      <c r="G14" s="21">
        <v>0</v>
      </c>
      <c r="H14" s="21">
        <f>F14*AE14</f>
        <v>0</v>
      </c>
      <c r="I14" s="21">
        <f>J14-H14</f>
        <v>0</v>
      </c>
      <c r="J14" s="21">
        <f>F14*G14</f>
        <v>0</v>
      </c>
      <c r="K14" s="21">
        <v>0.0914</v>
      </c>
      <c r="L14" s="21">
        <f>F14*K14</f>
        <v>15.766499999999999</v>
      </c>
      <c r="M14" s="33" t="s">
        <v>376</v>
      </c>
      <c r="P14" s="37">
        <f>IF(AG14="5",J14,0)</f>
        <v>0</v>
      </c>
      <c r="R14" s="37">
        <f>IF(AG14="1",H14,0)</f>
        <v>0</v>
      </c>
      <c r="S14" s="37">
        <f>IF(AG14="1",I14,0)</f>
        <v>0</v>
      </c>
      <c r="T14" s="37">
        <f>IF(AG14="7",H14,0)</f>
        <v>0</v>
      </c>
      <c r="U14" s="37">
        <f>IF(AG14="7",I14,0)</f>
        <v>0</v>
      </c>
      <c r="V14" s="37">
        <f>IF(AG14="2",H14,0)</f>
        <v>0</v>
      </c>
      <c r="W14" s="37">
        <f>IF(AG14="2",I14,0)</f>
        <v>0</v>
      </c>
      <c r="X14" s="37">
        <f>IF(AG14="0",J14,0)</f>
        <v>0</v>
      </c>
      <c r="Y14" s="29" t="s">
        <v>7</v>
      </c>
      <c r="Z14" s="21">
        <f>IF(AD14=0,J14,0)</f>
        <v>0</v>
      </c>
      <c r="AA14" s="21">
        <f>IF(AD14=15,J14,0)</f>
        <v>0</v>
      </c>
      <c r="AB14" s="21">
        <f>IF(AD14=21,J14,0)</f>
        <v>0</v>
      </c>
      <c r="AD14" s="37">
        <v>21</v>
      </c>
      <c r="AE14" s="37">
        <f>G14*0.288837353289545</f>
        <v>0</v>
      </c>
      <c r="AF14" s="37">
        <f>G14*(1-0.288837353289545)</f>
        <v>0</v>
      </c>
      <c r="AG14" s="33" t="s">
        <v>7</v>
      </c>
      <c r="AM14" s="37">
        <f>F14*AE14</f>
        <v>0</v>
      </c>
      <c r="AN14" s="37">
        <f>F14*AF14</f>
        <v>0</v>
      </c>
      <c r="AO14" s="38" t="s">
        <v>386</v>
      </c>
      <c r="AP14" s="38" t="s">
        <v>399</v>
      </c>
      <c r="AQ14" s="29" t="s">
        <v>423</v>
      </c>
      <c r="AS14" s="37">
        <f>AM14+AN14</f>
        <v>0</v>
      </c>
      <c r="AT14" s="37">
        <f>G14/(100-AU14)*100</f>
        <v>0</v>
      </c>
      <c r="AU14" s="37">
        <v>0</v>
      </c>
      <c r="AV14" s="37">
        <f>L14</f>
        <v>15.766499999999999</v>
      </c>
    </row>
    <row r="15" spans="4:6" ht="12.75">
      <c r="D15" s="17" t="s">
        <v>205</v>
      </c>
      <c r="F15" s="88">
        <v>172.5</v>
      </c>
    </row>
    <row r="16" spans="1:37" ht="12.75">
      <c r="A16" s="4"/>
      <c r="B16" s="14" t="s">
        <v>7</v>
      </c>
      <c r="C16" s="14" t="s">
        <v>67</v>
      </c>
      <c r="D16" s="14" t="s">
        <v>206</v>
      </c>
      <c r="E16" s="4" t="s">
        <v>6</v>
      </c>
      <c r="F16" s="4" t="s">
        <v>6</v>
      </c>
      <c r="G16" s="4" t="s">
        <v>6</v>
      </c>
      <c r="H16" s="40">
        <f>SUM(H17:H19)</f>
        <v>0</v>
      </c>
      <c r="I16" s="40">
        <f>SUM(I17:I19)</f>
        <v>0</v>
      </c>
      <c r="J16" s="40">
        <f>H16+I16</f>
        <v>0</v>
      </c>
      <c r="K16" s="29"/>
      <c r="L16" s="40">
        <f>SUM(L17:L19)</f>
        <v>2.4341498999999995</v>
      </c>
      <c r="M16" s="29"/>
      <c r="Y16" s="29" t="s">
        <v>7</v>
      </c>
      <c r="AI16" s="40">
        <f>SUM(Z17:Z19)</f>
        <v>0</v>
      </c>
      <c r="AJ16" s="40">
        <f>SUM(AA17:AA19)</f>
        <v>0</v>
      </c>
      <c r="AK16" s="40">
        <f>SUM(AB17:AB19)</f>
        <v>0</v>
      </c>
    </row>
    <row r="17" spans="1:48" ht="12.75">
      <c r="A17" s="5" t="s">
        <v>8</v>
      </c>
      <c r="B17" s="5" t="s">
        <v>7</v>
      </c>
      <c r="C17" s="5" t="s">
        <v>154</v>
      </c>
      <c r="D17" s="5" t="s">
        <v>207</v>
      </c>
      <c r="E17" s="5" t="s">
        <v>351</v>
      </c>
      <c r="F17" s="86">
        <v>69.63</v>
      </c>
      <c r="G17" s="21">
        <v>0</v>
      </c>
      <c r="H17" s="21">
        <f>F17*AE17</f>
        <v>0</v>
      </c>
      <c r="I17" s="21">
        <f>J17-H17</f>
        <v>0</v>
      </c>
      <c r="J17" s="21">
        <f>F17*G17</f>
        <v>0</v>
      </c>
      <c r="K17" s="21">
        <v>0.03491</v>
      </c>
      <c r="L17" s="21">
        <f>F17*K17</f>
        <v>2.4307832999999994</v>
      </c>
      <c r="M17" s="33" t="s">
        <v>376</v>
      </c>
      <c r="P17" s="37">
        <f>IF(AG17="5",J17,0)</f>
        <v>0</v>
      </c>
      <c r="R17" s="37">
        <f>IF(AG17="1",H17,0)</f>
        <v>0</v>
      </c>
      <c r="S17" s="37">
        <f>IF(AG17="1",I17,0)</f>
        <v>0</v>
      </c>
      <c r="T17" s="37">
        <f>IF(AG17="7",H17,0)</f>
        <v>0</v>
      </c>
      <c r="U17" s="37">
        <f>IF(AG17="7",I17,0)</f>
        <v>0</v>
      </c>
      <c r="V17" s="37">
        <f>IF(AG17="2",H17,0)</f>
        <v>0</v>
      </c>
      <c r="W17" s="37">
        <f>IF(AG17="2",I17,0)</f>
        <v>0</v>
      </c>
      <c r="X17" s="37">
        <f>IF(AG17="0",J17,0)</f>
        <v>0</v>
      </c>
      <c r="Y17" s="29" t="s">
        <v>7</v>
      </c>
      <c r="Z17" s="21">
        <f>IF(AD17=0,J17,0)</f>
        <v>0</v>
      </c>
      <c r="AA17" s="21">
        <f>IF(AD17=15,J17,0)</f>
        <v>0</v>
      </c>
      <c r="AB17" s="21">
        <f>IF(AD17=21,J17,0)</f>
        <v>0</v>
      </c>
      <c r="AD17" s="37">
        <v>21</v>
      </c>
      <c r="AE17" s="37">
        <f>G17*0.225930989526168</f>
        <v>0</v>
      </c>
      <c r="AF17" s="37">
        <f>G17*(1-0.225930989526168)</f>
        <v>0</v>
      </c>
      <c r="AG17" s="33" t="s">
        <v>7</v>
      </c>
      <c r="AM17" s="37">
        <f>F17*AE17</f>
        <v>0</v>
      </c>
      <c r="AN17" s="37">
        <f>F17*AF17</f>
        <v>0</v>
      </c>
      <c r="AO17" s="38" t="s">
        <v>387</v>
      </c>
      <c r="AP17" s="38" t="s">
        <v>400</v>
      </c>
      <c r="AQ17" s="29" t="s">
        <v>423</v>
      </c>
      <c r="AS17" s="37">
        <f>AM17+AN17</f>
        <v>0</v>
      </c>
      <c r="AT17" s="37">
        <f>G17/(100-AU17)*100</f>
        <v>0</v>
      </c>
      <c r="AU17" s="37">
        <v>0</v>
      </c>
      <c r="AV17" s="37">
        <f>L17</f>
        <v>2.4307832999999994</v>
      </c>
    </row>
    <row r="18" spans="4:6" ht="12.75">
      <c r="D18" s="17" t="s">
        <v>208</v>
      </c>
      <c r="F18" s="88">
        <v>69.63</v>
      </c>
    </row>
    <row r="19" spans="1:48" ht="12.75">
      <c r="A19" s="5" t="s">
        <v>9</v>
      </c>
      <c r="B19" s="5" t="s">
        <v>7</v>
      </c>
      <c r="C19" s="5" t="s">
        <v>155</v>
      </c>
      <c r="D19" s="5" t="s">
        <v>209</v>
      </c>
      <c r="E19" s="5" t="s">
        <v>351</v>
      </c>
      <c r="F19" s="86">
        <v>84.165</v>
      </c>
      <c r="G19" s="21">
        <v>0</v>
      </c>
      <c r="H19" s="21">
        <f>F19*AE19</f>
        <v>0</v>
      </c>
      <c r="I19" s="21">
        <f>J19-H19</f>
        <v>0</v>
      </c>
      <c r="J19" s="21">
        <f>F19*G19</f>
        <v>0</v>
      </c>
      <c r="K19" s="21">
        <v>4E-05</v>
      </c>
      <c r="L19" s="21">
        <f>F19*K19</f>
        <v>0.0033666000000000004</v>
      </c>
      <c r="M19" s="33" t="s">
        <v>376</v>
      </c>
      <c r="P19" s="37">
        <f>IF(AG19="5",J19,0)</f>
        <v>0</v>
      </c>
      <c r="R19" s="37">
        <f>IF(AG19="1",H19,0)</f>
        <v>0</v>
      </c>
      <c r="S19" s="37">
        <f>IF(AG19="1",I19,0)</f>
        <v>0</v>
      </c>
      <c r="T19" s="37">
        <f>IF(AG19="7",H19,0)</f>
        <v>0</v>
      </c>
      <c r="U19" s="37">
        <f>IF(AG19="7",I19,0)</f>
        <v>0</v>
      </c>
      <c r="V19" s="37">
        <f>IF(AG19="2",H19,0)</f>
        <v>0</v>
      </c>
      <c r="W19" s="37">
        <f>IF(AG19="2",I19,0)</f>
        <v>0</v>
      </c>
      <c r="X19" s="37">
        <f>IF(AG19="0",J19,0)</f>
        <v>0</v>
      </c>
      <c r="Y19" s="29" t="s">
        <v>7</v>
      </c>
      <c r="Z19" s="21">
        <f>IF(AD19=0,J19,0)</f>
        <v>0</v>
      </c>
      <c r="AA19" s="21">
        <f>IF(AD19=15,J19,0)</f>
        <v>0</v>
      </c>
      <c r="AB19" s="21">
        <f>IF(AD19=21,J19,0)</f>
        <v>0</v>
      </c>
      <c r="AD19" s="37">
        <v>21</v>
      </c>
      <c r="AE19" s="37">
        <f>G19*0.328048857173448</f>
        <v>0</v>
      </c>
      <c r="AF19" s="37">
        <f>G19*(1-0.328048857173448)</f>
        <v>0</v>
      </c>
      <c r="AG19" s="33" t="s">
        <v>7</v>
      </c>
      <c r="AM19" s="37">
        <f>F19*AE19</f>
        <v>0</v>
      </c>
      <c r="AN19" s="37">
        <f>F19*AF19</f>
        <v>0</v>
      </c>
      <c r="AO19" s="38" t="s">
        <v>387</v>
      </c>
      <c r="AP19" s="38" t="s">
        <v>400</v>
      </c>
      <c r="AQ19" s="29" t="s">
        <v>423</v>
      </c>
      <c r="AS19" s="37">
        <f>AM19+AN19</f>
        <v>0</v>
      </c>
      <c r="AT19" s="37">
        <f>G19/(100-AU19)*100</f>
        <v>0</v>
      </c>
      <c r="AU19" s="37">
        <v>0</v>
      </c>
      <c r="AV19" s="37">
        <f>L19</f>
        <v>0.0033666000000000004</v>
      </c>
    </row>
    <row r="20" spans="4:6" ht="12.75">
      <c r="D20" s="17" t="s">
        <v>210</v>
      </c>
      <c r="F20" s="88">
        <v>84.165</v>
      </c>
    </row>
    <row r="21" spans="1:37" ht="12.75">
      <c r="A21" s="4"/>
      <c r="B21" s="14" t="s">
        <v>7</v>
      </c>
      <c r="C21" s="14" t="s">
        <v>156</v>
      </c>
      <c r="D21" s="14" t="s">
        <v>211</v>
      </c>
      <c r="E21" s="4" t="s">
        <v>6</v>
      </c>
      <c r="F21" s="4" t="s">
        <v>6</v>
      </c>
      <c r="G21" s="4" t="s">
        <v>6</v>
      </c>
      <c r="H21" s="40">
        <f>SUM(H22:H22)</f>
        <v>0</v>
      </c>
      <c r="I21" s="40">
        <f>SUM(I22:I22)</f>
        <v>0</v>
      </c>
      <c r="J21" s="40">
        <f>H21+I21</f>
        <v>0</v>
      </c>
      <c r="K21" s="29"/>
      <c r="L21" s="40">
        <f>SUM(L22:L22)</f>
        <v>0</v>
      </c>
      <c r="M21" s="29"/>
      <c r="Y21" s="29" t="s">
        <v>7</v>
      </c>
      <c r="AI21" s="40">
        <f>SUM(Z22:Z22)</f>
        <v>0</v>
      </c>
      <c r="AJ21" s="40">
        <f>SUM(AA22:AA22)</f>
        <v>0</v>
      </c>
      <c r="AK21" s="40">
        <f>SUM(AB22:AB22)</f>
        <v>0</v>
      </c>
    </row>
    <row r="22" spans="1:48" ht="12.75">
      <c r="A22" s="5" t="s">
        <v>10</v>
      </c>
      <c r="B22" s="5" t="s">
        <v>7</v>
      </c>
      <c r="C22" s="5" t="s">
        <v>157</v>
      </c>
      <c r="D22" s="5" t="s">
        <v>212</v>
      </c>
      <c r="E22" s="5" t="s">
        <v>352</v>
      </c>
      <c r="F22" s="86">
        <v>56</v>
      </c>
      <c r="G22" s="21">
        <v>0</v>
      </c>
      <c r="H22" s="21">
        <f>F22*AE22</f>
        <v>0</v>
      </c>
      <c r="I22" s="21">
        <f>J22-H22</f>
        <v>0</v>
      </c>
      <c r="J22" s="21">
        <f>F22*G22</f>
        <v>0</v>
      </c>
      <c r="K22" s="21">
        <v>0</v>
      </c>
      <c r="L22" s="21">
        <f>F22*K22</f>
        <v>0</v>
      </c>
      <c r="M22" s="33"/>
      <c r="P22" s="37">
        <f>IF(AG22="5",J22,0)</f>
        <v>0</v>
      </c>
      <c r="R22" s="37">
        <f>IF(AG22="1",H22,0)</f>
        <v>0</v>
      </c>
      <c r="S22" s="37">
        <f>IF(AG22="1",I22,0)</f>
        <v>0</v>
      </c>
      <c r="T22" s="37">
        <f>IF(AG22="7",H22,0)</f>
        <v>0</v>
      </c>
      <c r="U22" s="37">
        <f>IF(AG22="7",I22,0)</f>
        <v>0</v>
      </c>
      <c r="V22" s="37">
        <f>IF(AG22="2",H22,0)</f>
        <v>0</v>
      </c>
      <c r="W22" s="37">
        <f>IF(AG22="2",I22,0)</f>
        <v>0</v>
      </c>
      <c r="X22" s="37">
        <f>IF(AG22="0",J22,0)</f>
        <v>0</v>
      </c>
      <c r="Y22" s="29" t="s">
        <v>7</v>
      </c>
      <c r="Z22" s="21">
        <f>IF(AD22=0,J22,0)</f>
        <v>0</v>
      </c>
      <c r="AA22" s="21">
        <f>IF(AD22=15,J22,0)</f>
        <v>0</v>
      </c>
      <c r="AB22" s="21">
        <f>IF(AD22=21,J22,0)</f>
        <v>0</v>
      </c>
      <c r="AD22" s="37">
        <v>21</v>
      </c>
      <c r="AE22" s="37">
        <f>G22*0</f>
        <v>0</v>
      </c>
      <c r="AF22" s="37">
        <f>G22*(1-0)</f>
        <v>0</v>
      </c>
      <c r="AG22" s="33" t="s">
        <v>7</v>
      </c>
      <c r="AM22" s="37">
        <f>F22*AE22</f>
        <v>0</v>
      </c>
      <c r="AN22" s="37">
        <f>F22*AF22</f>
        <v>0</v>
      </c>
      <c r="AO22" s="38" t="s">
        <v>388</v>
      </c>
      <c r="AP22" s="38" t="s">
        <v>400</v>
      </c>
      <c r="AQ22" s="29" t="s">
        <v>423</v>
      </c>
      <c r="AS22" s="37">
        <f>AM22+AN22</f>
        <v>0</v>
      </c>
      <c r="AT22" s="37">
        <f>G22/(100-AU22)*100</f>
        <v>0</v>
      </c>
      <c r="AU22" s="37">
        <v>0</v>
      </c>
      <c r="AV22" s="37">
        <f>L22</f>
        <v>0</v>
      </c>
    </row>
    <row r="23" spans="4:6" ht="12.75">
      <c r="D23" s="17" t="s">
        <v>213</v>
      </c>
      <c r="F23" s="88">
        <v>56</v>
      </c>
    </row>
    <row r="24" spans="1:37" ht="12.75">
      <c r="A24" s="4"/>
      <c r="B24" s="14" t="s">
        <v>7</v>
      </c>
      <c r="C24" s="14" t="s">
        <v>70</v>
      </c>
      <c r="D24" s="14" t="s">
        <v>214</v>
      </c>
      <c r="E24" s="4" t="s">
        <v>6</v>
      </c>
      <c r="F24" s="4" t="s">
        <v>6</v>
      </c>
      <c r="G24" s="4" t="s">
        <v>6</v>
      </c>
      <c r="H24" s="40">
        <f>SUM(H25:H32)</f>
        <v>0</v>
      </c>
      <c r="I24" s="40">
        <f>SUM(I25:I32)</f>
        <v>0</v>
      </c>
      <c r="J24" s="40">
        <f>H24+I24</f>
        <v>0</v>
      </c>
      <c r="K24" s="29"/>
      <c r="L24" s="40">
        <f>SUM(L25:L32)</f>
        <v>2.095185</v>
      </c>
      <c r="M24" s="29"/>
      <c r="Y24" s="29" t="s">
        <v>7</v>
      </c>
      <c r="AI24" s="40">
        <f>SUM(Z25:Z32)</f>
        <v>0</v>
      </c>
      <c r="AJ24" s="40">
        <f>SUM(AA25:AA32)</f>
        <v>0</v>
      </c>
      <c r="AK24" s="40">
        <f>SUM(AB25:AB32)</f>
        <v>0</v>
      </c>
    </row>
    <row r="25" spans="1:48" ht="12.75">
      <c r="A25" s="5" t="s">
        <v>11</v>
      </c>
      <c r="B25" s="5" t="s">
        <v>7</v>
      </c>
      <c r="C25" s="5" t="s">
        <v>158</v>
      </c>
      <c r="D25" s="5" t="s">
        <v>215</v>
      </c>
      <c r="E25" s="5" t="s">
        <v>353</v>
      </c>
      <c r="F25" s="86">
        <v>26</v>
      </c>
      <c r="G25" s="21">
        <v>0</v>
      </c>
      <c r="H25" s="21">
        <f>F25*AE25</f>
        <v>0</v>
      </c>
      <c r="I25" s="21">
        <f>J25-H25</f>
        <v>0</v>
      </c>
      <c r="J25" s="21">
        <f>F25*G25</f>
        <v>0</v>
      </c>
      <c r="K25" s="21">
        <v>0.0614</v>
      </c>
      <c r="L25" s="21">
        <f>F25*K25</f>
        <v>1.5964</v>
      </c>
      <c r="M25" s="33" t="s">
        <v>376</v>
      </c>
      <c r="P25" s="37">
        <f>IF(AG25="5",J25,0)</f>
        <v>0</v>
      </c>
      <c r="R25" s="37">
        <f>IF(AG25="1",H25,0)</f>
        <v>0</v>
      </c>
      <c r="S25" s="37">
        <f>IF(AG25="1",I25,0)</f>
        <v>0</v>
      </c>
      <c r="T25" s="37">
        <f>IF(AG25="7",H25,0)</f>
        <v>0</v>
      </c>
      <c r="U25" s="37">
        <f>IF(AG25="7",I25,0)</f>
        <v>0</v>
      </c>
      <c r="V25" s="37">
        <f>IF(AG25="2",H25,0)</f>
        <v>0</v>
      </c>
      <c r="W25" s="37">
        <f>IF(AG25="2",I25,0)</f>
        <v>0</v>
      </c>
      <c r="X25" s="37">
        <f>IF(AG25="0",J25,0)</f>
        <v>0</v>
      </c>
      <c r="Y25" s="29" t="s">
        <v>7</v>
      </c>
      <c r="Z25" s="21">
        <f>IF(AD25=0,J25,0)</f>
        <v>0</v>
      </c>
      <c r="AA25" s="21">
        <f>IF(AD25=15,J25,0)</f>
        <v>0</v>
      </c>
      <c r="AB25" s="21">
        <f>IF(AD25=21,J25,0)</f>
        <v>0</v>
      </c>
      <c r="AD25" s="37">
        <v>21</v>
      </c>
      <c r="AE25" s="37">
        <f>G25*0.298944616809447</f>
        <v>0</v>
      </c>
      <c r="AF25" s="37">
        <f>G25*(1-0.298944616809447)</f>
        <v>0</v>
      </c>
      <c r="AG25" s="33" t="s">
        <v>7</v>
      </c>
      <c r="AM25" s="37">
        <f>F25*AE25</f>
        <v>0</v>
      </c>
      <c r="AN25" s="37">
        <f>F25*AF25</f>
        <v>0</v>
      </c>
      <c r="AO25" s="38" t="s">
        <v>389</v>
      </c>
      <c r="AP25" s="38" t="s">
        <v>400</v>
      </c>
      <c r="AQ25" s="29" t="s">
        <v>423</v>
      </c>
      <c r="AS25" s="37">
        <f>AM25+AN25</f>
        <v>0</v>
      </c>
      <c r="AT25" s="37">
        <f>G25/(100-AU25)*100</f>
        <v>0</v>
      </c>
      <c r="AU25" s="37">
        <v>0</v>
      </c>
      <c r="AV25" s="37">
        <f>L25</f>
        <v>1.5964</v>
      </c>
    </row>
    <row r="26" spans="4:6" ht="12.75">
      <c r="D26" s="17" t="s">
        <v>216</v>
      </c>
      <c r="F26" s="88">
        <v>26</v>
      </c>
    </row>
    <row r="27" spans="1:48" ht="12.75">
      <c r="A27" s="5" t="s">
        <v>12</v>
      </c>
      <c r="B27" s="5" t="s">
        <v>7</v>
      </c>
      <c r="C27" s="5" t="s">
        <v>159</v>
      </c>
      <c r="D27" s="5" t="s">
        <v>217</v>
      </c>
      <c r="E27" s="5" t="s">
        <v>350</v>
      </c>
      <c r="F27" s="86">
        <v>189.45</v>
      </c>
      <c r="G27" s="21">
        <v>0</v>
      </c>
      <c r="H27" s="21">
        <f>F27*AE27</f>
        <v>0</v>
      </c>
      <c r="I27" s="21">
        <f>J27-H27</f>
        <v>0</v>
      </c>
      <c r="J27" s="21">
        <f>F27*G27</f>
        <v>0</v>
      </c>
      <c r="K27" s="21">
        <v>0</v>
      </c>
      <c r="L27" s="21">
        <f>F27*K27</f>
        <v>0</v>
      </c>
      <c r="M27" s="33" t="s">
        <v>376</v>
      </c>
      <c r="P27" s="37">
        <f>IF(AG27="5",J27,0)</f>
        <v>0</v>
      </c>
      <c r="R27" s="37">
        <f>IF(AG27="1",H27,0)</f>
        <v>0</v>
      </c>
      <c r="S27" s="37">
        <f>IF(AG27="1",I27,0)</f>
        <v>0</v>
      </c>
      <c r="T27" s="37">
        <f>IF(AG27="7",H27,0)</f>
        <v>0</v>
      </c>
      <c r="U27" s="37">
        <f>IF(AG27="7",I27,0)</f>
        <v>0</v>
      </c>
      <c r="V27" s="37">
        <f>IF(AG27="2",H27,0)</f>
        <v>0</v>
      </c>
      <c r="W27" s="37">
        <f>IF(AG27="2",I27,0)</f>
        <v>0</v>
      </c>
      <c r="X27" s="37">
        <f>IF(AG27="0",J27,0)</f>
        <v>0</v>
      </c>
      <c r="Y27" s="29" t="s">
        <v>7</v>
      </c>
      <c r="Z27" s="21">
        <f>IF(AD27=0,J27,0)</f>
        <v>0</v>
      </c>
      <c r="AA27" s="21">
        <f>IF(AD27=15,J27,0)</f>
        <v>0</v>
      </c>
      <c r="AB27" s="21">
        <f>IF(AD27=21,J27,0)</f>
        <v>0</v>
      </c>
      <c r="AD27" s="37">
        <v>21</v>
      </c>
      <c r="AE27" s="37">
        <f>G27*0.164041835267876</f>
        <v>0</v>
      </c>
      <c r="AF27" s="37">
        <f>G27*(1-0.164041835267876)</f>
        <v>0</v>
      </c>
      <c r="AG27" s="33" t="s">
        <v>7</v>
      </c>
      <c r="AM27" s="37">
        <f>F27*AE27</f>
        <v>0</v>
      </c>
      <c r="AN27" s="37">
        <f>F27*AF27</f>
        <v>0</v>
      </c>
      <c r="AO27" s="38" t="s">
        <v>389</v>
      </c>
      <c r="AP27" s="38" t="s">
        <v>400</v>
      </c>
      <c r="AQ27" s="29" t="s">
        <v>423</v>
      </c>
      <c r="AS27" s="37">
        <f>AM27+AN27</f>
        <v>0</v>
      </c>
      <c r="AT27" s="37">
        <f>G27/(100-AU27)*100</f>
        <v>0</v>
      </c>
      <c r="AU27" s="37">
        <v>0</v>
      </c>
      <c r="AV27" s="37">
        <f>L27</f>
        <v>0</v>
      </c>
    </row>
    <row r="28" spans="4:6" ht="12.75">
      <c r="D28" s="17" t="s">
        <v>218</v>
      </c>
      <c r="F28" s="88">
        <v>181.9</v>
      </c>
    </row>
    <row r="29" spans="4:6" ht="12.75">
      <c r="D29" s="17" t="s">
        <v>219</v>
      </c>
      <c r="F29" s="88">
        <v>7.55</v>
      </c>
    </row>
    <row r="30" spans="1:48" ht="12.75">
      <c r="A30" s="5" t="s">
        <v>13</v>
      </c>
      <c r="B30" s="5" t="s">
        <v>7</v>
      </c>
      <c r="C30" s="5" t="s">
        <v>160</v>
      </c>
      <c r="D30" s="5" t="s">
        <v>220</v>
      </c>
      <c r="E30" s="5" t="s">
        <v>353</v>
      </c>
      <c r="F30" s="86">
        <v>1</v>
      </c>
      <c r="G30" s="21">
        <v>0</v>
      </c>
      <c r="H30" s="21">
        <f>F30*AE30</f>
        <v>0</v>
      </c>
      <c r="I30" s="21">
        <f>J30-H30</f>
        <v>0</v>
      </c>
      <c r="J30" s="21">
        <f>F30*G30</f>
        <v>0</v>
      </c>
      <c r="K30" s="21">
        <v>0.01356</v>
      </c>
      <c r="L30" s="21">
        <f>F30*K30</f>
        <v>0.01356</v>
      </c>
      <c r="M30" s="33" t="s">
        <v>376</v>
      </c>
      <c r="P30" s="37">
        <f>IF(AG30="5",J30,0)</f>
        <v>0</v>
      </c>
      <c r="R30" s="37">
        <f>IF(AG30="1",H30,0)</f>
        <v>0</v>
      </c>
      <c r="S30" s="37">
        <f>IF(AG30="1",I30,0)</f>
        <v>0</v>
      </c>
      <c r="T30" s="37">
        <f>IF(AG30="7",H30,0)</f>
        <v>0</v>
      </c>
      <c r="U30" s="37">
        <f>IF(AG30="7",I30,0)</f>
        <v>0</v>
      </c>
      <c r="V30" s="37">
        <f>IF(AG30="2",H30,0)</f>
        <v>0</v>
      </c>
      <c r="W30" s="37">
        <f>IF(AG30="2",I30,0)</f>
        <v>0</v>
      </c>
      <c r="X30" s="37">
        <f>IF(AG30="0",J30,0)</f>
        <v>0</v>
      </c>
      <c r="Y30" s="29" t="s">
        <v>7</v>
      </c>
      <c r="Z30" s="21">
        <f>IF(AD30=0,J30,0)</f>
        <v>0</v>
      </c>
      <c r="AA30" s="21">
        <f>IF(AD30=15,J30,0)</f>
        <v>0</v>
      </c>
      <c r="AB30" s="21">
        <f>IF(AD30=21,J30,0)</f>
        <v>0</v>
      </c>
      <c r="AD30" s="37">
        <v>21</v>
      </c>
      <c r="AE30" s="37">
        <f>G30*0.196893790149893</f>
        <v>0</v>
      </c>
      <c r="AF30" s="37">
        <f>G30*(1-0.196893790149893)</f>
        <v>0</v>
      </c>
      <c r="AG30" s="33" t="s">
        <v>7</v>
      </c>
      <c r="AM30" s="37">
        <f>F30*AE30</f>
        <v>0</v>
      </c>
      <c r="AN30" s="37">
        <f>F30*AF30</f>
        <v>0</v>
      </c>
      <c r="AO30" s="38" t="s">
        <v>389</v>
      </c>
      <c r="AP30" s="38" t="s">
        <v>400</v>
      </c>
      <c r="AQ30" s="29" t="s">
        <v>423</v>
      </c>
      <c r="AS30" s="37">
        <f>AM30+AN30</f>
        <v>0</v>
      </c>
      <c r="AT30" s="37">
        <f>G30/(100-AU30)*100</f>
        <v>0</v>
      </c>
      <c r="AU30" s="37">
        <v>0</v>
      </c>
      <c r="AV30" s="37">
        <f>L30</f>
        <v>0.01356</v>
      </c>
    </row>
    <row r="31" spans="4:6" ht="12.75">
      <c r="D31" s="17" t="s">
        <v>7</v>
      </c>
      <c r="F31" s="88">
        <v>1</v>
      </c>
    </row>
    <row r="32" spans="1:48" ht="12.75">
      <c r="A32" s="5" t="s">
        <v>14</v>
      </c>
      <c r="B32" s="5" t="s">
        <v>7</v>
      </c>
      <c r="C32" s="5" t="s">
        <v>161</v>
      </c>
      <c r="D32" s="5" t="s">
        <v>221</v>
      </c>
      <c r="E32" s="5" t="s">
        <v>350</v>
      </c>
      <c r="F32" s="86">
        <v>32.5</v>
      </c>
      <c r="G32" s="21">
        <v>0</v>
      </c>
      <c r="H32" s="21">
        <f>F32*AE32</f>
        <v>0</v>
      </c>
      <c r="I32" s="21">
        <f>J32-H32</f>
        <v>0</v>
      </c>
      <c r="J32" s="21">
        <f>F32*G32</f>
        <v>0</v>
      </c>
      <c r="K32" s="21">
        <v>0.01493</v>
      </c>
      <c r="L32" s="21">
        <f>F32*K32</f>
        <v>0.485225</v>
      </c>
      <c r="M32" s="33" t="s">
        <v>376</v>
      </c>
      <c r="P32" s="37">
        <f>IF(AG32="5",J32,0)</f>
        <v>0</v>
      </c>
      <c r="R32" s="37">
        <f>IF(AG32="1",H32,0)</f>
        <v>0</v>
      </c>
      <c r="S32" s="37">
        <f>IF(AG32="1",I32,0)</f>
        <v>0</v>
      </c>
      <c r="T32" s="37">
        <f>IF(AG32="7",H32,0)</f>
        <v>0</v>
      </c>
      <c r="U32" s="37">
        <f>IF(AG32="7",I32,0)</f>
        <v>0</v>
      </c>
      <c r="V32" s="37">
        <f>IF(AG32="2",H32,0)</f>
        <v>0</v>
      </c>
      <c r="W32" s="37">
        <f>IF(AG32="2",I32,0)</f>
        <v>0</v>
      </c>
      <c r="X32" s="37">
        <f>IF(AG32="0",J32,0)</f>
        <v>0</v>
      </c>
      <c r="Y32" s="29" t="s">
        <v>7</v>
      </c>
      <c r="Z32" s="21">
        <f>IF(AD32=0,J32,0)</f>
        <v>0</v>
      </c>
      <c r="AA32" s="21">
        <f>IF(AD32=15,J32,0)</f>
        <v>0</v>
      </c>
      <c r="AB32" s="21">
        <f>IF(AD32=21,J32,0)</f>
        <v>0</v>
      </c>
      <c r="AD32" s="37">
        <v>21</v>
      </c>
      <c r="AE32" s="37">
        <f>G32*0.664331001513529</f>
        <v>0</v>
      </c>
      <c r="AF32" s="37">
        <f>G32*(1-0.664331001513529)</f>
        <v>0</v>
      </c>
      <c r="AG32" s="33" t="s">
        <v>7</v>
      </c>
      <c r="AM32" s="37">
        <f>F32*AE32</f>
        <v>0</v>
      </c>
      <c r="AN32" s="37">
        <f>F32*AF32</f>
        <v>0</v>
      </c>
      <c r="AO32" s="38" t="s">
        <v>389</v>
      </c>
      <c r="AP32" s="38" t="s">
        <v>400</v>
      </c>
      <c r="AQ32" s="29" t="s">
        <v>423</v>
      </c>
      <c r="AS32" s="37">
        <f>AM32+AN32</f>
        <v>0</v>
      </c>
      <c r="AT32" s="37">
        <f>G32/(100-AU32)*100</f>
        <v>0</v>
      </c>
      <c r="AU32" s="37">
        <v>0</v>
      </c>
      <c r="AV32" s="37">
        <f>L32</f>
        <v>0.485225</v>
      </c>
    </row>
    <row r="33" spans="4:6" ht="12.75">
      <c r="D33" s="17" t="s">
        <v>222</v>
      </c>
      <c r="F33" s="88">
        <v>32.5</v>
      </c>
    </row>
    <row r="34" spans="1:37" ht="12.75">
      <c r="A34" s="4"/>
      <c r="B34" s="14" t="s">
        <v>7</v>
      </c>
      <c r="C34" s="14" t="s">
        <v>162</v>
      </c>
      <c r="D34" s="14" t="s">
        <v>223</v>
      </c>
      <c r="E34" s="4" t="s">
        <v>6</v>
      </c>
      <c r="F34" s="4" t="s">
        <v>6</v>
      </c>
      <c r="G34" s="4" t="s">
        <v>6</v>
      </c>
      <c r="H34" s="40">
        <f>SUM(H35:H37)</f>
        <v>0</v>
      </c>
      <c r="I34" s="40">
        <f>SUM(I35:I37)</f>
        <v>0</v>
      </c>
      <c r="J34" s="40">
        <f>H34+I34</f>
        <v>0</v>
      </c>
      <c r="K34" s="29"/>
      <c r="L34" s="40">
        <f>SUM(L35:L37)</f>
        <v>0.2826795</v>
      </c>
      <c r="M34" s="29"/>
      <c r="Y34" s="29" t="s">
        <v>7</v>
      </c>
      <c r="AI34" s="40">
        <f>SUM(Z35:Z37)</f>
        <v>0</v>
      </c>
      <c r="AJ34" s="40">
        <f>SUM(AA35:AA37)</f>
        <v>0</v>
      </c>
      <c r="AK34" s="40">
        <f>SUM(AB35:AB37)</f>
        <v>0</v>
      </c>
    </row>
    <row r="35" spans="1:48" ht="12.75">
      <c r="A35" s="5" t="s">
        <v>15</v>
      </c>
      <c r="B35" s="5" t="s">
        <v>7</v>
      </c>
      <c r="C35" s="5" t="s">
        <v>163</v>
      </c>
      <c r="D35" s="5" t="s">
        <v>224</v>
      </c>
      <c r="E35" s="5" t="s">
        <v>350</v>
      </c>
      <c r="F35" s="86">
        <v>47.35</v>
      </c>
      <c r="G35" s="21">
        <v>0</v>
      </c>
      <c r="H35" s="21">
        <f>F35*AE35</f>
        <v>0</v>
      </c>
      <c r="I35" s="21">
        <f>J35-H35</f>
        <v>0</v>
      </c>
      <c r="J35" s="21">
        <f>F35*G35</f>
        <v>0</v>
      </c>
      <c r="K35" s="21">
        <v>0.00181</v>
      </c>
      <c r="L35" s="21">
        <f>F35*K35</f>
        <v>0.0857035</v>
      </c>
      <c r="M35" s="33" t="s">
        <v>376</v>
      </c>
      <c r="P35" s="37">
        <f>IF(AG35="5",J35,0)</f>
        <v>0</v>
      </c>
      <c r="R35" s="37">
        <f>IF(AG35="1",H35,0)</f>
        <v>0</v>
      </c>
      <c r="S35" s="37">
        <f>IF(AG35="1",I35,0)</f>
        <v>0</v>
      </c>
      <c r="T35" s="37">
        <f>IF(AG35="7",H35,0)</f>
        <v>0</v>
      </c>
      <c r="U35" s="37">
        <f>IF(AG35="7",I35,0)</f>
        <v>0</v>
      </c>
      <c r="V35" s="37">
        <f>IF(AG35="2",H35,0)</f>
        <v>0</v>
      </c>
      <c r="W35" s="37">
        <f>IF(AG35="2",I35,0)</f>
        <v>0</v>
      </c>
      <c r="X35" s="37">
        <f>IF(AG35="0",J35,0)</f>
        <v>0</v>
      </c>
      <c r="Y35" s="29" t="s">
        <v>7</v>
      </c>
      <c r="Z35" s="21">
        <f>IF(AD35=0,J35,0)</f>
        <v>0</v>
      </c>
      <c r="AA35" s="21">
        <f>IF(AD35=15,J35,0)</f>
        <v>0</v>
      </c>
      <c r="AB35" s="21">
        <f>IF(AD35=21,J35,0)</f>
        <v>0</v>
      </c>
      <c r="AD35" s="37">
        <v>21</v>
      </c>
      <c r="AE35" s="37">
        <f>G35*0</f>
        <v>0</v>
      </c>
      <c r="AF35" s="37">
        <f>G35*(1-0)</f>
        <v>0</v>
      </c>
      <c r="AG35" s="33" t="s">
        <v>13</v>
      </c>
      <c r="AM35" s="37">
        <f>F35*AE35</f>
        <v>0</v>
      </c>
      <c r="AN35" s="37">
        <f>F35*AF35</f>
        <v>0</v>
      </c>
      <c r="AO35" s="38" t="s">
        <v>390</v>
      </c>
      <c r="AP35" s="38" t="s">
        <v>401</v>
      </c>
      <c r="AQ35" s="29" t="s">
        <v>423</v>
      </c>
      <c r="AS35" s="37">
        <f>AM35+AN35</f>
        <v>0</v>
      </c>
      <c r="AT35" s="37">
        <f>G35/(100-AU35)*100</f>
        <v>0</v>
      </c>
      <c r="AU35" s="37">
        <v>0</v>
      </c>
      <c r="AV35" s="37">
        <f>L35</f>
        <v>0.0857035</v>
      </c>
    </row>
    <row r="36" spans="4:6" ht="12.75">
      <c r="D36" s="17" t="s">
        <v>225</v>
      </c>
      <c r="F36" s="88">
        <v>47.35</v>
      </c>
    </row>
    <row r="37" spans="1:48" ht="12.75">
      <c r="A37" s="5" t="s">
        <v>16</v>
      </c>
      <c r="B37" s="5" t="s">
        <v>7</v>
      </c>
      <c r="C37" s="5" t="s">
        <v>164</v>
      </c>
      <c r="D37" s="5" t="s">
        <v>226</v>
      </c>
      <c r="E37" s="5" t="s">
        <v>350</v>
      </c>
      <c r="F37" s="86">
        <v>47.35</v>
      </c>
      <c r="G37" s="21">
        <v>0</v>
      </c>
      <c r="H37" s="21">
        <f>F37*AE37</f>
        <v>0</v>
      </c>
      <c r="I37" s="21">
        <f>J37-H37</f>
        <v>0</v>
      </c>
      <c r="J37" s="21">
        <f>F37*G37</f>
        <v>0</v>
      </c>
      <c r="K37" s="21">
        <v>0.00416</v>
      </c>
      <c r="L37" s="21">
        <f>F37*K37</f>
        <v>0.19697599999999998</v>
      </c>
      <c r="M37" s="33" t="s">
        <v>376</v>
      </c>
      <c r="P37" s="37">
        <f>IF(AG37="5",J37,0)</f>
        <v>0</v>
      </c>
      <c r="R37" s="37">
        <f>IF(AG37="1",H37,0)</f>
        <v>0</v>
      </c>
      <c r="S37" s="37">
        <f>IF(AG37="1",I37,0)</f>
        <v>0</v>
      </c>
      <c r="T37" s="37">
        <f>IF(AG37="7",H37,0)</f>
        <v>0</v>
      </c>
      <c r="U37" s="37">
        <f>IF(AG37="7",I37,0)</f>
        <v>0</v>
      </c>
      <c r="V37" s="37">
        <f>IF(AG37="2",H37,0)</f>
        <v>0</v>
      </c>
      <c r="W37" s="37">
        <f>IF(AG37="2",I37,0)</f>
        <v>0</v>
      </c>
      <c r="X37" s="37">
        <f>IF(AG37="0",J37,0)</f>
        <v>0</v>
      </c>
      <c r="Y37" s="29" t="s">
        <v>7</v>
      </c>
      <c r="Z37" s="21">
        <f>IF(AD37=0,J37,0)</f>
        <v>0</v>
      </c>
      <c r="AA37" s="21">
        <f>IF(AD37=15,J37,0)</f>
        <v>0</v>
      </c>
      <c r="AB37" s="21">
        <f>IF(AD37=21,J37,0)</f>
        <v>0</v>
      </c>
      <c r="AD37" s="37">
        <v>21</v>
      </c>
      <c r="AE37" s="37">
        <f>G37*0.591333646487048</f>
        <v>0</v>
      </c>
      <c r="AF37" s="37">
        <f>G37*(1-0.591333646487048)</f>
        <v>0</v>
      </c>
      <c r="AG37" s="33" t="s">
        <v>13</v>
      </c>
      <c r="AM37" s="37">
        <f>F37*AE37</f>
        <v>0</v>
      </c>
      <c r="AN37" s="37">
        <f>F37*AF37</f>
        <v>0</v>
      </c>
      <c r="AO37" s="38" t="s">
        <v>390</v>
      </c>
      <c r="AP37" s="38" t="s">
        <v>401</v>
      </c>
      <c r="AQ37" s="29" t="s">
        <v>423</v>
      </c>
      <c r="AS37" s="37">
        <f>AM37+AN37</f>
        <v>0</v>
      </c>
      <c r="AT37" s="37">
        <f>G37/(100-AU37)*100</f>
        <v>0</v>
      </c>
      <c r="AU37" s="37">
        <v>0</v>
      </c>
      <c r="AV37" s="37">
        <f>L37</f>
        <v>0.19697599999999998</v>
      </c>
    </row>
    <row r="38" spans="4:6" ht="12.75">
      <c r="D38" s="17" t="s">
        <v>225</v>
      </c>
      <c r="F38" s="88">
        <v>47.35</v>
      </c>
    </row>
    <row r="39" spans="1:37" ht="12.75">
      <c r="A39" s="4"/>
      <c r="B39" s="14" t="s">
        <v>7</v>
      </c>
      <c r="C39" s="14" t="s">
        <v>165</v>
      </c>
      <c r="D39" s="14" t="s">
        <v>227</v>
      </c>
      <c r="E39" s="4" t="s">
        <v>6</v>
      </c>
      <c r="F39" s="4" t="s">
        <v>6</v>
      </c>
      <c r="G39" s="4" t="s">
        <v>6</v>
      </c>
      <c r="H39" s="40">
        <f>SUM(H40:H50)</f>
        <v>0</v>
      </c>
      <c r="I39" s="40">
        <f>SUM(I40:I50)</f>
        <v>0</v>
      </c>
      <c r="J39" s="40">
        <f>H39+I39</f>
        <v>0</v>
      </c>
      <c r="K39" s="29"/>
      <c r="L39" s="40">
        <f>SUM(L40:L50)</f>
        <v>2.35352</v>
      </c>
      <c r="M39" s="29"/>
      <c r="Y39" s="29" t="s">
        <v>7</v>
      </c>
      <c r="AI39" s="40">
        <f>SUM(Z40:Z50)</f>
        <v>0</v>
      </c>
      <c r="AJ39" s="40">
        <f>SUM(AA40:AA50)</f>
        <v>0</v>
      </c>
      <c r="AK39" s="40">
        <f>SUM(AB40:AB50)</f>
        <v>0</v>
      </c>
    </row>
    <row r="40" spans="1:48" ht="12.75">
      <c r="A40" s="5" t="s">
        <v>17</v>
      </c>
      <c r="B40" s="5" t="s">
        <v>7</v>
      </c>
      <c r="C40" s="5" t="s">
        <v>166</v>
      </c>
      <c r="D40" s="5" t="s">
        <v>228</v>
      </c>
      <c r="E40" s="5" t="s">
        <v>354</v>
      </c>
      <c r="F40" s="86">
        <v>1</v>
      </c>
      <c r="G40" s="21">
        <v>0</v>
      </c>
      <c r="H40" s="21">
        <f>F40*AE40</f>
        <v>0</v>
      </c>
      <c r="I40" s="21">
        <f>J40-H40</f>
        <v>0</v>
      </c>
      <c r="J40" s="21">
        <f>F40*G40</f>
        <v>0</v>
      </c>
      <c r="K40" s="21">
        <v>0.12</v>
      </c>
      <c r="L40" s="21">
        <f>F40*K40</f>
        <v>0.12</v>
      </c>
      <c r="M40" s="33"/>
      <c r="P40" s="37">
        <f>IF(AG40="5",J40,0)</f>
        <v>0</v>
      </c>
      <c r="R40" s="37">
        <f>IF(AG40="1",H40,0)</f>
        <v>0</v>
      </c>
      <c r="S40" s="37">
        <f>IF(AG40="1",I40,0)</f>
        <v>0</v>
      </c>
      <c r="T40" s="37">
        <f>IF(AG40="7",H40,0)</f>
        <v>0</v>
      </c>
      <c r="U40" s="37">
        <f>IF(AG40="7",I40,0)</f>
        <v>0</v>
      </c>
      <c r="V40" s="37">
        <f>IF(AG40="2",H40,0)</f>
        <v>0</v>
      </c>
      <c r="W40" s="37">
        <f>IF(AG40="2",I40,0)</f>
        <v>0</v>
      </c>
      <c r="X40" s="37">
        <f>IF(AG40="0",J40,0)</f>
        <v>0</v>
      </c>
      <c r="Y40" s="29" t="s">
        <v>7</v>
      </c>
      <c r="Z40" s="21">
        <f>IF(AD40=0,J40,0)</f>
        <v>0</v>
      </c>
      <c r="AA40" s="21">
        <f>IF(AD40=15,J40,0)</f>
        <v>0</v>
      </c>
      <c r="AB40" s="21">
        <f>IF(AD40=21,J40,0)</f>
        <v>0</v>
      </c>
      <c r="AD40" s="37">
        <v>21</v>
      </c>
      <c r="AE40" s="37">
        <f>G40*0</f>
        <v>0</v>
      </c>
      <c r="AF40" s="37">
        <f>G40*(1-0)</f>
        <v>0</v>
      </c>
      <c r="AG40" s="33" t="s">
        <v>13</v>
      </c>
      <c r="AM40" s="37">
        <f>F40*AE40</f>
        <v>0</v>
      </c>
      <c r="AN40" s="37">
        <f>F40*AF40</f>
        <v>0</v>
      </c>
      <c r="AO40" s="38" t="s">
        <v>391</v>
      </c>
      <c r="AP40" s="38" t="s">
        <v>401</v>
      </c>
      <c r="AQ40" s="29" t="s">
        <v>423</v>
      </c>
      <c r="AS40" s="37">
        <f>AM40+AN40</f>
        <v>0</v>
      </c>
      <c r="AT40" s="37">
        <f>G40/(100-AU40)*100</f>
        <v>0</v>
      </c>
      <c r="AU40" s="37">
        <v>0</v>
      </c>
      <c r="AV40" s="37">
        <f>L40</f>
        <v>0.12</v>
      </c>
    </row>
    <row r="41" spans="4:6" ht="12.75">
      <c r="D41" s="17" t="s">
        <v>7</v>
      </c>
      <c r="F41" s="88">
        <v>1</v>
      </c>
    </row>
    <row r="42" spans="1:48" ht="12.75">
      <c r="A42" s="5" t="s">
        <v>18</v>
      </c>
      <c r="B42" s="5" t="s">
        <v>7</v>
      </c>
      <c r="C42" s="5" t="s">
        <v>166</v>
      </c>
      <c r="D42" s="5" t="s">
        <v>229</v>
      </c>
      <c r="E42" s="5" t="s">
        <v>354</v>
      </c>
      <c r="F42" s="86">
        <v>1</v>
      </c>
      <c r="G42" s="21">
        <v>0</v>
      </c>
      <c r="H42" s="21">
        <f>F42*AE42</f>
        <v>0</v>
      </c>
      <c r="I42" s="21">
        <f>J42-H42</f>
        <v>0</v>
      </c>
      <c r="J42" s="21">
        <f>F42*G42</f>
        <v>0</v>
      </c>
      <c r="K42" s="21">
        <v>0.15</v>
      </c>
      <c r="L42" s="21">
        <f>F42*K42</f>
        <v>0.15</v>
      </c>
      <c r="M42" s="33"/>
      <c r="P42" s="37">
        <f>IF(AG42="5",J42,0)</f>
        <v>0</v>
      </c>
      <c r="R42" s="37">
        <f>IF(AG42="1",H42,0)</f>
        <v>0</v>
      </c>
      <c r="S42" s="37">
        <f>IF(AG42="1",I42,0)</f>
        <v>0</v>
      </c>
      <c r="T42" s="37">
        <f>IF(AG42="7",H42,0)</f>
        <v>0</v>
      </c>
      <c r="U42" s="37">
        <f>IF(AG42="7",I42,0)</f>
        <v>0</v>
      </c>
      <c r="V42" s="37">
        <f>IF(AG42="2",H42,0)</f>
        <v>0</v>
      </c>
      <c r="W42" s="37">
        <f>IF(AG42="2",I42,0)</f>
        <v>0</v>
      </c>
      <c r="X42" s="37">
        <f>IF(AG42="0",J42,0)</f>
        <v>0</v>
      </c>
      <c r="Y42" s="29" t="s">
        <v>7</v>
      </c>
      <c r="Z42" s="21">
        <f>IF(AD42=0,J42,0)</f>
        <v>0</v>
      </c>
      <c r="AA42" s="21">
        <f>IF(AD42=15,J42,0)</f>
        <v>0</v>
      </c>
      <c r="AB42" s="21">
        <f>IF(AD42=21,J42,0)</f>
        <v>0</v>
      </c>
      <c r="AD42" s="37">
        <v>21</v>
      </c>
      <c r="AE42" s="37">
        <f>G42*0</f>
        <v>0</v>
      </c>
      <c r="AF42" s="37">
        <f>G42*(1-0)</f>
        <v>0</v>
      </c>
      <c r="AG42" s="33" t="s">
        <v>13</v>
      </c>
      <c r="AM42" s="37">
        <f>F42*AE42</f>
        <v>0</v>
      </c>
      <c r="AN42" s="37">
        <f>F42*AF42</f>
        <v>0</v>
      </c>
      <c r="AO42" s="38" t="s">
        <v>391</v>
      </c>
      <c r="AP42" s="38" t="s">
        <v>401</v>
      </c>
      <c r="AQ42" s="29" t="s">
        <v>423</v>
      </c>
      <c r="AS42" s="37">
        <f>AM42+AN42</f>
        <v>0</v>
      </c>
      <c r="AT42" s="37">
        <f>G42/(100-AU42)*100</f>
        <v>0</v>
      </c>
      <c r="AU42" s="37">
        <v>0</v>
      </c>
      <c r="AV42" s="37">
        <f>L42</f>
        <v>0.15</v>
      </c>
    </row>
    <row r="43" spans="4:6" ht="12.75">
      <c r="D43" s="17" t="s">
        <v>7</v>
      </c>
      <c r="F43" s="88">
        <v>1</v>
      </c>
    </row>
    <row r="44" spans="1:48" ht="12.75">
      <c r="A44" s="5" t="s">
        <v>19</v>
      </c>
      <c r="B44" s="5" t="s">
        <v>7</v>
      </c>
      <c r="C44" s="5" t="s">
        <v>167</v>
      </c>
      <c r="D44" s="5" t="s">
        <v>230</v>
      </c>
      <c r="E44" s="5" t="s">
        <v>355</v>
      </c>
      <c r="F44" s="86">
        <v>25</v>
      </c>
      <c r="G44" s="21">
        <v>0</v>
      </c>
      <c r="H44" s="21">
        <f>F44*AE44</f>
        <v>0</v>
      </c>
      <c r="I44" s="21">
        <f>J44-H44</f>
        <v>0</v>
      </c>
      <c r="J44" s="21">
        <f>F44*G44</f>
        <v>0</v>
      </c>
      <c r="K44" s="21">
        <v>0.08</v>
      </c>
      <c r="L44" s="21">
        <f>F44*K44</f>
        <v>2</v>
      </c>
      <c r="M44" s="33"/>
      <c r="P44" s="37">
        <f>IF(AG44="5",J44,0)</f>
        <v>0</v>
      </c>
      <c r="R44" s="37">
        <f>IF(AG44="1",H44,0)</f>
        <v>0</v>
      </c>
      <c r="S44" s="37">
        <f>IF(AG44="1",I44,0)</f>
        <v>0</v>
      </c>
      <c r="T44" s="37">
        <f>IF(AG44="7",H44,0)</f>
        <v>0</v>
      </c>
      <c r="U44" s="37">
        <f>IF(AG44="7",I44,0)</f>
        <v>0</v>
      </c>
      <c r="V44" s="37">
        <f>IF(AG44="2",H44,0)</f>
        <v>0</v>
      </c>
      <c r="W44" s="37">
        <f>IF(AG44="2",I44,0)</f>
        <v>0</v>
      </c>
      <c r="X44" s="37">
        <f>IF(AG44="0",J44,0)</f>
        <v>0</v>
      </c>
      <c r="Y44" s="29" t="s">
        <v>7</v>
      </c>
      <c r="Z44" s="21">
        <f>IF(AD44=0,J44,0)</f>
        <v>0</v>
      </c>
      <c r="AA44" s="21">
        <f>IF(AD44=15,J44,0)</f>
        <v>0</v>
      </c>
      <c r="AB44" s="21">
        <f>IF(AD44=21,J44,0)</f>
        <v>0</v>
      </c>
      <c r="AD44" s="37">
        <v>21</v>
      </c>
      <c r="AE44" s="37">
        <f>G44*0</f>
        <v>0</v>
      </c>
      <c r="AF44" s="37">
        <f>G44*(1-0)</f>
        <v>0</v>
      </c>
      <c r="AG44" s="33" t="s">
        <v>13</v>
      </c>
      <c r="AM44" s="37">
        <f>F44*AE44</f>
        <v>0</v>
      </c>
      <c r="AN44" s="37">
        <f>F44*AF44</f>
        <v>0</v>
      </c>
      <c r="AO44" s="38" t="s">
        <v>391</v>
      </c>
      <c r="AP44" s="38" t="s">
        <v>401</v>
      </c>
      <c r="AQ44" s="29" t="s">
        <v>423</v>
      </c>
      <c r="AS44" s="37">
        <f>AM44+AN44</f>
        <v>0</v>
      </c>
      <c r="AT44" s="37">
        <f>G44/(100-AU44)*100</f>
        <v>0</v>
      </c>
      <c r="AU44" s="37">
        <v>0</v>
      </c>
      <c r="AV44" s="37">
        <f>L44</f>
        <v>2</v>
      </c>
    </row>
    <row r="45" spans="4:6" ht="12.75">
      <c r="D45" s="17" t="s">
        <v>31</v>
      </c>
      <c r="F45" s="88">
        <v>25</v>
      </c>
    </row>
    <row r="46" spans="1:48" ht="12.75">
      <c r="A46" s="5" t="s">
        <v>20</v>
      </c>
      <c r="B46" s="5" t="s">
        <v>7</v>
      </c>
      <c r="C46" s="5" t="s">
        <v>167</v>
      </c>
      <c r="D46" s="5" t="s">
        <v>231</v>
      </c>
      <c r="E46" s="5" t="s">
        <v>355</v>
      </c>
      <c r="F46" s="86">
        <v>1</v>
      </c>
      <c r="G46" s="21">
        <v>0</v>
      </c>
      <c r="H46" s="21">
        <f>F46*AE46</f>
        <v>0</v>
      </c>
      <c r="I46" s="21">
        <f>J46-H46</f>
        <v>0</v>
      </c>
      <c r="J46" s="21">
        <f>F46*G46</f>
        <v>0</v>
      </c>
      <c r="K46" s="21">
        <v>0.075</v>
      </c>
      <c r="L46" s="21">
        <f>F46*K46</f>
        <v>0.075</v>
      </c>
      <c r="M46" s="33"/>
      <c r="P46" s="37">
        <f>IF(AG46="5",J46,0)</f>
        <v>0</v>
      </c>
      <c r="R46" s="37">
        <f>IF(AG46="1",H46,0)</f>
        <v>0</v>
      </c>
      <c r="S46" s="37">
        <f>IF(AG46="1",I46,0)</f>
        <v>0</v>
      </c>
      <c r="T46" s="37">
        <f>IF(AG46="7",H46,0)</f>
        <v>0</v>
      </c>
      <c r="U46" s="37">
        <f>IF(AG46="7",I46,0)</f>
        <v>0</v>
      </c>
      <c r="V46" s="37">
        <f>IF(AG46="2",H46,0)</f>
        <v>0</v>
      </c>
      <c r="W46" s="37">
        <f>IF(AG46="2",I46,0)</f>
        <v>0</v>
      </c>
      <c r="X46" s="37">
        <f>IF(AG46="0",J46,0)</f>
        <v>0</v>
      </c>
      <c r="Y46" s="29" t="s">
        <v>7</v>
      </c>
      <c r="Z46" s="21">
        <f>IF(AD46=0,J46,0)</f>
        <v>0</v>
      </c>
      <c r="AA46" s="21">
        <f>IF(AD46=15,J46,0)</f>
        <v>0</v>
      </c>
      <c r="AB46" s="21">
        <f>IF(AD46=21,J46,0)</f>
        <v>0</v>
      </c>
      <c r="AD46" s="37">
        <v>21</v>
      </c>
      <c r="AE46" s="37">
        <f>G46*0</f>
        <v>0</v>
      </c>
      <c r="AF46" s="37">
        <f>G46*(1-0)</f>
        <v>0</v>
      </c>
      <c r="AG46" s="33" t="s">
        <v>13</v>
      </c>
      <c r="AM46" s="37">
        <f>F46*AE46</f>
        <v>0</v>
      </c>
      <c r="AN46" s="37">
        <f>F46*AF46</f>
        <v>0</v>
      </c>
      <c r="AO46" s="38" t="s">
        <v>391</v>
      </c>
      <c r="AP46" s="38" t="s">
        <v>401</v>
      </c>
      <c r="AQ46" s="29" t="s">
        <v>423</v>
      </c>
      <c r="AS46" s="37">
        <f>AM46+AN46</f>
        <v>0</v>
      </c>
      <c r="AT46" s="37">
        <f>G46/(100-AU46)*100</f>
        <v>0</v>
      </c>
      <c r="AU46" s="37">
        <v>0</v>
      </c>
      <c r="AV46" s="37">
        <f>L46</f>
        <v>0.075</v>
      </c>
    </row>
    <row r="47" spans="4:6" ht="12.75">
      <c r="D47" s="17" t="s">
        <v>7</v>
      </c>
      <c r="F47" s="88">
        <v>1</v>
      </c>
    </row>
    <row r="48" spans="1:48" ht="12.75">
      <c r="A48" s="5" t="s">
        <v>21</v>
      </c>
      <c r="B48" s="5" t="s">
        <v>7</v>
      </c>
      <c r="C48" s="5" t="s">
        <v>168</v>
      </c>
      <c r="D48" s="5" t="s">
        <v>232</v>
      </c>
      <c r="E48" s="5" t="s">
        <v>353</v>
      </c>
      <c r="F48" s="86">
        <v>2</v>
      </c>
      <c r="G48" s="21">
        <v>0</v>
      </c>
      <c r="H48" s="21">
        <f>F48*AE48</f>
        <v>0</v>
      </c>
      <c r="I48" s="21">
        <f>J48-H48</f>
        <v>0</v>
      </c>
      <c r="J48" s="21">
        <f>F48*G48</f>
        <v>0</v>
      </c>
      <c r="K48" s="21">
        <v>0.004</v>
      </c>
      <c r="L48" s="21">
        <f>F48*K48</f>
        <v>0.008</v>
      </c>
      <c r="M48" s="33" t="s">
        <v>376</v>
      </c>
      <c r="P48" s="37">
        <f>IF(AG48="5",J48,0)</f>
        <v>0</v>
      </c>
      <c r="R48" s="37">
        <f>IF(AG48="1",H48,0)</f>
        <v>0</v>
      </c>
      <c r="S48" s="37">
        <f>IF(AG48="1",I48,0)</f>
        <v>0</v>
      </c>
      <c r="T48" s="37">
        <f>IF(AG48="7",H48,0)</f>
        <v>0</v>
      </c>
      <c r="U48" s="37">
        <f>IF(AG48="7",I48,0)</f>
        <v>0</v>
      </c>
      <c r="V48" s="37">
        <f>IF(AG48="2",H48,0)</f>
        <v>0</v>
      </c>
      <c r="W48" s="37">
        <f>IF(AG48="2",I48,0)</f>
        <v>0</v>
      </c>
      <c r="X48" s="37">
        <f>IF(AG48="0",J48,0)</f>
        <v>0</v>
      </c>
      <c r="Y48" s="29" t="s">
        <v>7</v>
      </c>
      <c r="Z48" s="21">
        <f>IF(AD48=0,J48,0)</f>
        <v>0</v>
      </c>
      <c r="AA48" s="21">
        <f>IF(AD48=15,J48,0)</f>
        <v>0</v>
      </c>
      <c r="AB48" s="21">
        <f>IF(AD48=21,J48,0)</f>
        <v>0</v>
      </c>
      <c r="AD48" s="37">
        <v>21</v>
      </c>
      <c r="AE48" s="37">
        <f>G48*0</f>
        <v>0</v>
      </c>
      <c r="AF48" s="37">
        <f>G48*(1-0)</f>
        <v>0</v>
      </c>
      <c r="AG48" s="33" t="s">
        <v>13</v>
      </c>
      <c r="AM48" s="37">
        <f>F48*AE48</f>
        <v>0</v>
      </c>
      <c r="AN48" s="37">
        <f>F48*AF48</f>
        <v>0</v>
      </c>
      <c r="AO48" s="38" t="s">
        <v>391</v>
      </c>
      <c r="AP48" s="38" t="s">
        <v>401</v>
      </c>
      <c r="AQ48" s="29" t="s">
        <v>423</v>
      </c>
      <c r="AS48" s="37">
        <f>AM48+AN48</f>
        <v>0</v>
      </c>
      <c r="AT48" s="37">
        <f>G48/(100-AU48)*100</f>
        <v>0</v>
      </c>
      <c r="AU48" s="37">
        <v>0</v>
      </c>
      <c r="AV48" s="37">
        <f>L48</f>
        <v>0.008</v>
      </c>
    </row>
    <row r="49" spans="4:6" ht="12.75">
      <c r="D49" s="17" t="s">
        <v>8</v>
      </c>
      <c r="F49" s="88">
        <v>2</v>
      </c>
    </row>
    <row r="50" spans="1:48" ht="12.75">
      <c r="A50" s="5" t="s">
        <v>22</v>
      </c>
      <c r="B50" s="5" t="s">
        <v>7</v>
      </c>
      <c r="C50" s="5" t="s">
        <v>169</v>
      </c>
      <c r="D50" s="5" t="s">
        <v>233</v>
      </c>
      <c r="E50" s="5" t="s">
        <v>353</v>
      </c>
      <c r="F50" s="86">
        <v>2</v>
      </c>
      <c r="G50" s="21">
        <v>0</v>
      </c>
      <c r="H50" s="21">
        <f>F50*AE50</f>
        <v>0</v>
      </c>
      <c r="I50" s="21">
        <f>J50-H50</f>
        <v>0</v>
      </c>
      <c r="J50" s="21">
        <f>F50*G50</f>
        <v>0</v>
      </c>
      <c r="K50" s="21">
        <v>0.00026</v>
      </c>
      <c r="L50" s="21">
        <f>F50*K50</f>
        <v>0.00052</v>
      </c>
      <c r="M50" s="33" t="s">
        <v>376</v>
      </c>
      <c r="P50" s="37">
        <f>IF(AG50="5",J50,0)</f>
        <v>0</v>
      </c>
      <c r="R50" s="37">
        <f>IF(AG50="1",H50,0)</f>
        <v>0</v>
      </c>
      <c r="S50" s="37">
        <f>IF(AG50="1",I50,0)</f>
        <v>0</v>
      </c>
      <c r="T50" s="37">
        <f>IF(AG50="7",H50,0)</f>
        <v>0</v>
      </c>
      <c r="U50" s="37">
        <f>IF(AG50="7",I50,0)</f>
        <v>0</v>
      </c>
      <c r="V50" s="37">
        <f>IF(AG50="2",H50,0)</f>
        <v>0</v>
      </c>
      <c r="W50" s="37">
        <f>IF(AG50="2",I50,0)</f>
        <v>0</v>
      </c>
      <c r="X50" s="37">
        <f>IF(AG50="0",J50,0)</f>
        <v>0</v>
      </c>
      <c r="Y50" s="29" t="s">
        <v>7</v>
      </c>
      <c r="Z50" s="21">
        <f>IF(AD50=0,J50,0)</f>
        <v>0</v>
      </c>
      <c r="AA50" s="21">
        <f>IF(AD50=15,J50,0)</f>
        <v>0</v>
      </c>
      <c r="AB50" s="21">
        <f>IF(AD50=21,J50,0)</f>
        <v>0</v>
      </c>
      <c r="AD50" s="37">
        <v>21</v>
      </c>
      <c r="AE50" s="37">
        <f>G50*0</f>
        <v>0</v>
      </c>
      <c r="AF50" s="37">
        <f>G50*(1-0)</f>
        <v>0</v>
      </c>
      <c r="AG50" s="33" t="s">
        <v>13</v>
      </c>
      <c r="AM50" s="37">
        <f>F50*AE50</f>
        <v>0</v>
      </c>
      <c r="AN50" s="37">
        <f>F50*AF50</f>
        <v>0</v>
      </c>
      <c r="AO50" s="38" t="s">
        <v>391</v>
      </c>
      <c r="AP50" s="38" t="s">
        <v>401</v>
      </c>
      <c r="AQ50" s="29" t="s">
        <v>423</v>
      </c>
      <c r="AS50" s="37">
        <f>AM50+AN50</f>
        <v>0</v>
      </c>
      <c r="AT50" s="37">
        <f>G50/(100-AU50)*100</f>
        <v>0</v>
      </c>
      <c r="AU50" s="37">
        <v>0</v>
      </c>
      <c r="AV50" s="37">
        <f>L50</f>
        <v>0.00052</v>
      </c>
    </row>
    <row r="51" spans="4:6" ht="12.75">
      <c r="D51" s="17" t="s">
        <v>8</v>
      </c>
      <c r="F51" s="88">
        <v>2</v>
      </c>
    </row>
    <row r="52" spans="1:37" ht="12.75">
      <c r="A52" s="4"/>
      <c r="B52" s="14" t="s">
        <v>7</v>
      </c>
      <c r="C52" s="14" t="s">
        <v>170</v>
      </c>
      <c r="D52" s="14" t="s">
        <v>234</v>
      </c>
      <c r="E52" s="4" t="s">
        <v>6</v>
      </c>
      <c r="F52" s="4" t="s">
        <v>6</v>
      </c>
      <c r="G52" s="4" t="s">
        <v>6</v>
      </c>
      <c r="H52" s="40">
        <f>SUM(H53:H55)</f>
        <v>0</v>
      </c>
      <c r="I52" s="40">
        <f>SUM(I53:I55)</f>
        <v>0</v>
      </c>
      <c r="J52" s="40">
        <f>H52+I52</f>
        <v>0</v>
      </c>
      <c r="K52" s="29"/>
      <c r="L52" s="40">
        <f>SUM(L53:L55)</f>
        <v>0.011179999999999999</v>
      </c>
      <c r="M52" s="29"/>
      <c r="Y52" s="29" t="s">
        <v>7</v>
      </c>
      <c r="AI52" s="40">
        <f>SUM(Z53:Z55)</f>
        <v>0</v>
      </c>
      <c r="AJ52" s="40">
        <f>SUM(AA53:AA55)</f>
        <v>0</v>
      </c>
      <c r="AK52" s="40">
        <f>SUM(AB53:AB55)</f>
        <v>0</v>
      </c>
    </row>
    <row r="53" spans="1:48" ht="12.75">
      <c r="A53" s="5" t="s">
        <v>23</v>
      </c>
      <c r="B53" s="5" t="s">
        <v>7</v>
      </c>
      <c r="C53" s="5" t="s">
        <v>171</v>
      </c>
      <c r="D53" s="5" t="s">
        <v>235</v>
      </c>
      <c r="E53" s="5" t="s">
        <v>353</v>
      </c>
      <c r="F53" s="86">
        <v>2</v>
      </c>
      <c r="G53" s="21">
        <v>0</v>
      </c>
      <c r="H53" s="21">
        <f>F53*AE53</f>
        <v>0</v>
      </c>
      <c r="I53" s="21">
        <f>J53-H53</f>
        <v>0</v>
      </c>
      <c r="J53" s="21">
        <f>F53*G53</f>
        <v>0</v>
      </c>
      <c r="K53" s="21">
        <v>1E-05</v>
      </c>
      <c r="L53" s="21">
        <f>F53*K53</f>
        <v>2E-05</v>
      </c>
      <c r="M53" s="33" t="s">
        <v>376</v>
      </c>
      <c r="P53" s="37">
        <f>IF(AG53="5",J53,0)</f>
        <v>0</v>
      </c>
      <c r="R53" s="37">
        <f>IF(AG53="1",H53,0)</f>
        <v>0</v>
      </c>
      <c r="S53" s="37">
        <f>IF(AG53="1",I53,0)</f>
        <v>0</v>
      </c>
      <c r="T53" s="37">
        <f>IF(AG53="7",H53,0)</f>
        <v>0</v>
      </c>
      <c r="U53" s="37">
        <f>IF(AG53="7",I53,0)</f>
        <v>0</v>
      </c>
      <c r="V53" s="37">
        <f>IF(AG53="2",H53,0)</f>
        <v>0</v>
      </c>
      <c r="W53" s="37">
        <f>IF(AG53="2",I53,0)</f>
        <v>0</v>
      </c>
      <c r="X53" s="37">
        <f>IF(AG53="0",J53,0)</f>
        <v>0</v>
      </c>
      <c r="Y53" s="29" t="s">
        <v>7</v>
      </c>
      <c r="Z53" s="21">
        <f>IF(AD53=0,J53,0)</f>
        <v>0</v>
      </c>
      <c r="AA53" s="21">
        <f>IF(AD53=15,J53,0)</f>
        <v>0</v>
      </c>
      <c r="AB53" s="21">
        <f>IF(AD53=21,J53,0)</f>
        <v>0</v>
      </c>
      <c r="AD53" s="37">
        <v>21</v>
      </c>
      <c r="AE53" s="37">
        <f>G53*0.0166980609418283</f>
        <v>0</v>
      </c>
      <c r="AF53" s="37">
        <f>G53*(1-0.0166980609418283)</f>
        <v>0</v>
      </c>
      <c r="AG53" s="33" t="s">
        <v>13</v>
      </c>
      <c r="AM53" s="37">
        <f>F53*AE53</f>
        <v>0</v>
      </c>
      <c r="AN53" s="37">
        <f>F53*AF53</f>
        <v>0</v>
      </c>
      <c r="AO53" s="38" t="s">
        <v>392</v>
      </c>
      <c r="AP53" s="38" t="s">
        <v>401</v>
      </c>
      <c r="AQ53" s="29" t="s">
        <v>423</v>
      </c>
      <c r="AS53" s="37">
        <f>AM53+AN53</f>
        <v>0</v>
      </c>
      <c r="AT53" s="37">
        <f>G53/(100-AU53)*100</f>
        <v>0</v>
      </c>
      <c r="AU53" s="37">
        <v>0</v>
      </c>
      <c r="AV53" s="37">
        <f>L53</f>
        <v>2E-05</v>
      </c>
    </row>
    <row r="54" spans="4:6" ht="12.75">
      <c r="D54" s="17" t="s">
        <v>8</v>
      </c>
      <c r="F54" s="88">
        <v>2</v>
      </c>
    </row>
    <row r="55" spans="1:48" ht="12.75">
      <c r="A55" s="6" t="s">
        <v>24</v>
      </c>
      <c r="B55" s="6" t="s">
        <v>7</v>
      </c>
      <c r="C55" s="6" t="s">
        <v>172</v>
      </c>
      <c r="D55" s="6" t="s">
        <v>236</v>
      </c>
      <c r="E55" s="6" t="s">
        <v>353</v>
      </c>
      <c r="F55" s="87">
        <v>2</v>
      </c>
      <c r="G55" s="22">
        <v>0</v>
      </c>
      <c r="H55" s="22">
        <f>F55*AE55</f>
        <v>0</v>
      </c>
      <c r="I55" s="22">
        <f>J55-H55</f>
        <v>0</v>
      </c>
      <c r="J55" s="22">
        <f>F55*G55</f>
        <v>0</v>
      </c>
      <c r="K55" s="22">
        <v>0.00558</v>
      </c>
      <c r="L55" s="22">
        <f>F55*K55</f>
        <v>0.01116</v>
      </c>
      <c r="M55" s="34" t="s">
        <v>376</v>
      </c>
      <c r="P55" s="37">
        <f>IF(AG55="5",J55,0)</f>
        <v>0</v>
      </c>
      <c r="R55" s="37">
        <f>IF(AG55="1",H55,0)</f>
        <v>0</v>
      </c>
      <c r="S55" s="37">
        <f>IF(AG55="1",I55,0)</f>
        <v>0</v>
      </c>
      <c r="T55" s="37">
        <f>IF(AG55="7",H55,0)</f>
        <v>0</v>
      </c>
      <c r="U55" s="37">
        <f>IF(AG55="7",I55,0)</f>
        <v>0</v>
      </c>
      <c r="V55" s="37">
        <f>IF(AG55="2",H55,0)</f>
        <v>0</v>
      </c>
      <c r="W55" s="37">
        <f>IF(AG55="2",I55,0)</f>
        <v>0</v>
      </c>
      <c r="X55" s="37">
        <f>IF(AG55="0",J55,0)</f>
        <v>0</v>
      </c>
      <c r="Y55" s="29" t="s">
        <v>7</v>
      </c>
      <c r="Z55" s="22">
        <f>IF(AD55=0,J55,0)</f>
        <v>0</v>
      </c>
      <c r="AA55" s="22">
        <f>IF(AD55=15,J55,0)</f>
        <v>0</v>
      </c>
      <c r="AB55" s="22">
        <f>IF(AD55=21,J55,0)</f>
        <v>0</v>
      </c>
      <c r="AD55" s="37">
        <v>21</v>
      </c>
      <c r="AE55" s="37">
        <f>G55*1</f>
        <v>0</v>
      </c>
      <c r="AF55" s="37">
        <f>G55*(1-1)</f>
        <v>0</v>
      </c>
      <c r="AG55" s="34" t="s">
        <v>13</v>
      </c>
      <c r="AM55" s="37">
        <f>F55*AE55</f>
        <v>0</v>
      </c>
      <c r="AN55" s="37">
        <f>F55*AF55</f>
        <v>0</v>
      </c>
      <c r="AO55" s="38" t="s">
        <v>392</v>
      </c>
      <c r="AP55" s="38" t="s">
        <v>401</v>
      </c>
      <c r="AQ55" s="29" t="s">
        <v>423</v>
      </c>
      <c r="AS55" s="37">
        <f>AM55+AN55</f>
        <v>0</v>
      </c>
      <c r="AT55" s="37">
        <f>G55/(100-AU55)*100</f>
        <v>0</v>
      </c>
      <c r="AU55" s="37">
        <v>0</v>
      </c>
      <c r="AV55" s="37">
        <f>L55</f>
        <v>0.01116</v>
      </c>
    </row>
    <row r="56" spans="4:6" ht="12.75">
      <c r="D56" s="17" t="s">
        <v>8</v>
      </c>
      <c r="F56" s="88">
        <v>2</v>
      </c>
    </row>
    <row r="57" spans="1:37" ht="12.75">
      <c r="A57" s="4"/>
      <c r="B57" s="14" t="s">
        <v>7</v>
      </c>
      <c r="C57" s="14" t="s">
        <v>173</v>
      </c>
      <c r="D57" s="14" t="s">
        <v>237</v>
      </c>
      <c r="E57" s="4" t="s">
        <v>6</v>
      </c>
      <c r="F57" s="4" t="s">
        <v>6</v>
      </c>
      <c r="G57" s="4" t="s">
        <v>6</v>
      </c>
      <c r="H57" s="40">
        <f>SUM(H58:H60)</f>
        <v>0</v>
      </c>
      <c r="I57" s="40">
        <f>SUM(I58:I60)</f>
        <v>0</v>
      </c>
      <c r="J57" s="40">
        <f>H57+I57</f>
        <v>0</v>
      </c>
      <c r="K57" s="29"/>
      <c r="L57" s="40">
        <f>SUM(L58:L60)</f>
        <v>0.0459558</v>
      </c>
      <c r="M57" s="29"/>
      <c r="Y57" s="29" t="s">
        <v>7</v>
      </c>
      <c r="AI57" s="40">
        <f>SUM(Z58:Z60)</f>
        <v>0</v>
      </c>
      <c r="AJ57" s="40">
        <f>SUM(AA58:AA60)</f>
        <v>0</v>
      </c>
      <c r="AK57" s="40">
        <f>SUM(AB58:AB60)</f>
        <v>0</v>
      </c>
    </row>
    <row r="58" spans="1:48" ht="12.75">
      <c r="A58" s="5" t="s">
        <v>25</v>
      </c>
      <c r="B58" s="5" t="s">
        <v>7</v>
      </c>
      <c r="C58" s="5" t="s">
        <v>174</v>
      </c>
      <c r="D58" s="5" t="s">
        <v>238</v>
      </c>
      <c r="E58" s="5" t="s">
        <v>351</v>
      </c>
      <c r="F58" s="86">
        <v>69.63</v>
      </c>
      <c r="G58" s="21">
        <v>0</v>
      </c>
      <c r="H58" s="21">
        <f>F58*AE58</f>
        <v>0</v>
      </c>
      <c r="I58" s="21">
        <f>J58-H58</f>
        <v>0</v>
      </c>
      <c r="J58" s="21">
        <f>F58*G58</f>
        <v>0</v>
      </c>
      <c r="K58" s="21">
        <v>0.00018</v>
      </c>
      <c r="L58" s="21">
        <f>F58*K58</f>
        <v>0.0125334</v>
      </c>
      <c r="M58" s="33" t="s">
        <v>376</v>
      </c>
      <c r="P58" s="37">
        <f>IF(AG58="5",J58,0)</f>
        <v>0</v>
      </c>
      <c r="R58" s="37">
        <f>IF(AG58="1",H58,0)</f>
        <v>0</v>
      </c>
      <c r="S58" s="37">
        <f>IF(AG58="1",I58,0)</f>
        <v>0</v>
      </c>
      <c r="T58" s="37">
        <f>IF(AG58="7",H58,0)</f>
        <v>0</v>
      </c>
      <c r="U58" s="37">
        <f>IF(AG58="7",I58,0)</f>
        <v>0</v>
      </c>
      <c r="V58" s="37">
        <f>IF(AG58="2",H58,0)</f>
        <v>0</v>
      </c>
      <c r="W58" s="37">
        <f>IF(AG58="2",I58,0)</f>
        <v>0</v>
      </c>
      <c r="X58" s="37">
        <f>IF(AG58="0",J58,0)</f>
        <v>0</v>
      </c>
      <c r="Y58" s="29" t="s">
        <v>7</v>
      </c>
      <c r="Z58" s="21">
        <f>IF(AD58=0,J58,0)</f>
        <v>0</v>
      </c>
      <c r="AA58" s="21">
        <f>IF(AD58=15,J58,0)</f>
        <v>0</v>
      </c>
      <c r="AB58" s="21">
        <f>IF(AD58=21,J58,0)</f>
        <v>0</v>
      </c>
      <c r="AD58" s="37">
        <v>21</v>
      </c>
      <c r="AE58" s="37">
        <f>G58*0.379455079591837</f>
        <v>0</v>
      </c>
      <c r="AF58" s="37">
        <f>G58*(1-0.379455079591837)</f>
        <v>0</v>
      </c>
      <c r="AG58" s="33" t="s">
        <v>13</v>
      </c>
      <c r="AM58" s="37">
        <f>F58*AE58</f>
        <v>0</v>
      </c>
      <c r="AN58" s="37">
        <f>F58*AF58</f>
        <v>0</v>
      </c>
      <c r="AO58" s="38" t="s">
        <v>393</v>
      </c>
      <c r="AP58" s="38" t="s">
        <v>402</v>
      </c>
      <c r="AQ58" s="29" t="s">
        <v>423</v>
      </c>
      <c r="AS58" s="37">
        <f>AM58+AN58</f>
        <v>0</v>
      </c>
      <c r="AT58" s="37">
        <f>G58/(100-AU58)*100</f>
        <v>0</v>
      </c>
      <c r="AU58" s="37">
        <v>0</v>
      </c>
      <c r="AV58" s="37">
        <f>L58</f>
        <v>0.0125334</v>
      </c>
    </row>
    <row r="59" spans="4:6" ht="12.75">
      <c r="D59" s="17" t="s">
        <v>239</v>
      </c>
      <c r="F59" s="88">
        <v>69.63</v>
      </c>
    </row>
    <row r="60" spans="1:48" ht="12.75">
      <c r="A60" s="5" t="s">
        <v>26</v>
      </c>
      <c r="B60" s="5" t="s">
        <v>7</v>
      </c>
      <c r="C60" s="5" t="s">
        <v>175</v>
      </c>
      <c r="D60" s="5" t="s">
        <v>240</v>
      </c>
      <c r="E60" s="5" t="s">
        <v>351</v>
      </c>
      <c r="F60" s="86">
        <v>69.63</v>
      </c>
      <c r="G60" s="21">
        <v>0</v>
      </c>
      <c r="H60" s="21">
        <f>F60*AE60</f>
        <v>0</v>
      </c>
      <c r="I60" s="21">
        <f>J60-H60</f>
        <v>0</v>
      </c>
      <c r="J60" s="21">
        <f>F60*G60</f>
        <v>0</v>
      </c>
      <c r="K60" s="21">
        <v>0.00048</v>
      </c>
      <c r="L60" s="21">
        <f>F60*K60</f>
        <v>0.0334224</v>
      </c>
      <c r="M60" s="33" t="s">
        <v>376</v>
      </c>
      <c r="P60" s="37">
        <f>IF(AG60="5",J60,0)</f>
        <v>0</v>
      </c>
      <c r="R60" s="37">
        <f>IF(AG60="1",H60,0)</f>
        <v>0</v>
      </c>
      <c r="S60" s="37">
        <f>IF(AG60="1",I60,0)</f>
        <v>0</v>
      </c>
      <c r="T60" s="37">
        <f>IF(AG60="7",H60,0)</f>
        <v>0</v>
      </c>
      <c r="U60" s="37">
        <f>IF(AG60="7",I60,0)</f>
        <v>0</v>
      </c>
      <c r="V60" s="37">
        <f>IF(AG60="2",H60,0)</f>
        <v>0</v>
      </c>
      <c r="W60" s="37">
        <f>IF(AG60="2",I60,0)</f>
        <v>0</v>
      </c>
      <c r="X60" s="37">
        <f>IF(AG60="0",J60,0)</f>
        <v>0</v>
      </c>
      <c r="Y60" s="29" t="s">
        <v>7</v>
      </c>
      <c r="Z60" s="21">
        <f>IF(AD60=0,J60,0)</f>
        <v>0</v>
      </c>
      <c r="AA60" s="21">
        <f>IF(AD60=15,J60,0)</f>
        <v>0</v>
      </c>
      <c r="AB60" s="21">
        <f>IF(AD60=21,J60,0)</f>
        <v>0</v>
      </c>
      <c r="AD60" s="37">
        <v>21</v>
      </c>
      <c r="AE60" s="37">
        <f>G60*0.339633030587474</f>
        <v>0</v>
      </c>
      <c r="AF60" s="37">
        <f>G60*(1-0.339633030587474)</f>
        <v>0</v>
      </c>
      <c r="AG60" s="33" t="s">
        <v>13</v>
      </c>
      <c r="AM60" s="37">
        <f>F60*AE60</f>
        <v>0</v>
      </c>
      <c r="AN60" s="37">
        <f>F60*AF60</f>
        <v>0</v>
      </c>
      <c r="AO60" s="38" t="s">
        <v>393</v>
      </c>
      <c r="AP60" s="38" t="s">
        <v>402</v>
      </c>
      <c r="AQ60" s="29" t="s">
        <v>423</v>
      </c>
      <c r="AS60" s="37">
        <f>AM60+AN60</f>
        <v>0</v>
      </c>
      <c r="AT60" s="37">
        <f>G60/(100-AU60)*100</f>
        <v>0</v>
      </c>
      <c r="AU60" s="37">
        <v>0</v>
      </c>
      <c r="AV60" s="37">
        <f>L60</f>
        <v>0.0334224</v>
      </c>
    </row>
    <row r="61" spans="4:6" ht="12.75">
      <c r="D61" s="17" t="s">
        <v>239</v>
      </c>
      <c r="F61" s="88">
        <v>69.63</v>
      </c>
    </row>
    <row r="62" spans="1:37" ht="12.75">
      <c r="A62" s="4"/>
      <c r="B62" s="14" t="s">
        <v>7</v>
      </c>
      <c r="C62" s="14" t="s">
        <v>176</v>
      </c>
      <c r="D62" s="14" t="s">
        <v>241</v>
      </c>
      <c r="E62" s="4" t="s">
        <v>6</v>
      </c>
      <c r="F62" s="4" t="s">
        <v>6</v>
      </c>
      <c r="G62" s="4" t="s">
        <v>6</v>
      </c>
      <c r="H62" s="40">
        <f>SUM(H63:H65)</f>
        <v>0</v>
      </c>
      <c r="I62" s="40">
        <f>SUM(I63:I65)</f>
        <v>0</v>
      </c>
      <c r="J62" s="40">
        <f>H62+I62</f>
        <v>0</v>
      </c>
      <c r="K62" s="29"/>
      <c r="L62" s="40">
        <f>SUM(L63:L65)</f>
        <v>0.056175</v>
      </c>
      <c r="M62" s="29"/>
      <c r="Y62" s="29" t="s">
        <v>7</v>
      </c>
      <c r="AI62" s="40">
        <f>SUM(Z63:Z65)</f>
        <v>0</v>
      </c>
      <c r="AJ62" s="40">
        <f>SUM(AA63:AA65)</f>
        <v>0</v>
      </c>
      <c r="AK62" s="40">
        <f>SUM(AB63:AB65)</f>
        <v>0</v>
      </c>
    </row>
    <row r="63" spans="1:48" ht="12.75">
      <c r="A63" s="5" t="s">
        <v>27</v>
      </c>
      <c r="B63" s="5" t="s">
        <v>7</v>
      </c>
      <c r="C63" s="5" t="s">
        <v>177</v>
      </c>
      <c r="D63" s="5" t="s">
        <v>242</v>
      </c>
      <c r="E63" s="5" t="s">
        <v>351</v>
      </c>
      <c r="F63" s="86">
        <v>74.75</v>
      </c>
      <c r="G63" s="21">
        <v>0</v>
      </c>
      <c r="H63" s="21">
        <f>F63*AE63</f>
        <v>0</v>
      </c>
      <c r="I63" s="21">
        <f>J63-H63</f>
        <v>0</v>
      </c>
      <c r="J63" s="21">
        <f>F63*G63</f>
        <v>0</v>
      </c>
      <c r="K63" s="21">
        <v>0.0003</v>
      </c>
      <c r="L63" s="21">
        <f>F63*K63</f>
        <v>0.022424999999999997</v>
      </c>
      <c r="M63" s="33" t="s">
        <v>376</v>
      </c>
      <c r="P63" s="37">
        <f>IF(AG63="5",J63,0)</f>
        <v>0</v>
      </c>
      <c r="R63" s="37">
        <f>IF(AG63="1",H63,0)</f>
        <v>0</v>
      </c>
      <c r="S63" s="37">
        <f>IF(AG63="1",I63,0)</f>
        <v>0</v>
      </c>
      <c r="T63" s="37">
        <f>IF(AG63="7",H63,0)</f>
        <v>0</v>
      </c>
      <c r="U63" s="37">
        <f>IF(AG63="7",I63,0)</f>
        <v>0</v>
      </c>
      <c r="V63" s="37">
        <f>IF(AG63="2",H63,0)</f>
        <v>0</v>
      </c>
      <c r="W63" s="37">
        <f>IF(AG63="2",I63,0)</f>
        <v>0</v>
      </c>
      <c r="X63" s="37">
        <f>IF(AG63="0",J63,0)</f>
        <v>0</v>
      </c>
      <c r="Y63" s="29" t="s">
        <v>7</v>
      </c>
      <c r="Z63" s="21">
        <f>IF(AD63=0,J63,0)</f>
        <v>0</v>
      </c>
      <c r="AA63" s="21">
        <f>IF(AD63=15,J63,0)</f>
        <v>0</v>
      </c>
      <c r="AB63" s="21">
        <f>IF(AD63=21,J63,0)</f>
        <v>0</v>
      </c>
      <c r="AD63" s="37">
        <v>21</v>
      </c>
      <c r="AE63" s="37">
        <f>G63*0.607157313673709</f>
        <v>0</v>
      </c>
      <c r="AF63" s="37">
        <f>G63*(1-0.607157313673709)</f>
        <v>0</v>
      </c>
      <c r="AG63" s="33" t="s">
        <v>13</v>
      </c>
      <c r="AM63" s="37">
        <f>F63*AE63</f>
        <v>0</v>
      </c>
      <c r="AN63" s="37">
        <f>F63*AF63</f>
        <v>0</v>
      </c>
      <c r="AO63" s="38" t="s">
        <v>394</v>
      </c>
      <c r="AP63" s="38" t="s">
        <v>402</v>
      </c>
      <c r="AQ63" s="29" t="s">
        <v>423</v>
      </c>
      <c r="AS63" s="37">
        <f>AM63+AN63</f>
        <v>0</v>
      </c>
      <c r="AT63" s="37">
        <f>G63/(100-AU63)*100</f>
        <v>0</v>
      </c>
      <c r="AU63" s="37">
        <v>0</v>
      </c>
      <c r="AV63" s="37">
        <f>L63</f>
        <v>0.022424999999999997</v>
      </c>
    </row>
    <row r="64" spans="4:6" ht="12.75">
      <c r="D64" s="17" t="s">
        <v>243</v>
      </c>
      <c r="F64" s="88">
        <v>74.75</v>
      </c>
    </row>
    <row r="65" spans="1:48" ht="12.75">
      <c r="A65" s="6" t="s">
        <v>28</v>
      </c>
      <c r="B65" s="6" t="s">
        <v>7</v>
      </c>
      <c r="C65" s="6" t="s">
        <v>178</v>
      </c>
      <c r="D65" s="6" t="s">
        <v>244</v>
      </c>
      <c r="E65" s="6" t="s">
        <v>353</v>
      </c>
      <c r="F65" s="87">
        <v>25</v>
      </c>
      <c r="G65" s="22">
        <v>0</v>
      </c>
      <c r="H65" s="22">
        <f>F65*AE65</f>
        <v>0</v>
      </c>
      <c r="I65" s="22">
        <f>J65-H65</f>
        <v>0</v>
      </c>
      <c r="J65" s="22">
        <f>F65*G65</f>
        <v>0</v>
      </c>
      <c r="K65" s="22">
        <v>0.00135</v>
      </c>
      <c r="L65" s="22">
        <f>F65*K65</f>
        <v>0.03375</v>
      </c>
      <c r="M65" s="34" t="s">
        <v>376</v>
      </c>
      <c r="P65" s="37">
        <f>IF(AG65="5",J65,0)</f>
        <v>0</v>
      </c>
      <c r="R65" s="37">
        <f>IF(AG65="1",H65,0)</f>
        <v>0</v>
      </c>
      <c r="S65" s="37">
        <f>IF(AG65="1",I65,0)</f>
        <v>0</v>
      </c>
      <c r="T65" s="37">
        <f>IF(AG65="7",H65,0)</f>
        <v>0</v>
      </c>
      <c r="U65" s="37">
        <f>IF(AG65="7",I65,0)</f>
        <v>0</v>
      </c>
      <c r="V65" s="37">
        <f>IF(AG65="2",H65,0)</f>
        <v>0</v>
      </c>
      <c r="W65" s="37">
        <f>IF(AG65="2",I65,0)</f>
        <v>0</v>
      </c>
      <c r="X65" s="37">
        <f>IF(AG65="0",J65,0)</f>
        <v>0</v>
      </c>
      <c r="Y65" s="29" t="s">
        <v>7</v>
      </c>
      <c r="Z65" s="22">
        <f>IF(AD65=0,J65,0)</f>
        <v>0</v>
      </c>
      <c r="AA65" s="22">
        <f>IF(AD65=15,J65,0)</f>
        <v>0</v>
      </c>
      <c r="AB65" s="22">
        <f>IF(AD65=21,J65,0)</f>
        <v>0</v>
      </c>
      <c r="AD65" s="37">
        <v>21</v>
      </c>
      <c r="AE65" s="37">
        <f>G65*1</f>
        <v>0</v>
      </c>
      <c r="AF65" s="37">
        <f>G65*(1-1)</f>
        <v>0</v>
      </c>
      <c r="AG65" s="34" t="s">
        <v>13</v>
      </c>
      <c r="AM65" s="37">
        <f>F65*AE65</f>
        <v>0</v>
      </c>
      <c r="AN65" s="37">
        <f>F65*AF65</f>
        <v>0</v>
      </c>
      <c r="AO65" s="38" t="s">
        <v>394</v>
      </c>
      <c r="AP65" s="38" t="s">
        <v>402</v>
      </c>
      <c r="AQ65" s="29" t="s">
        <v>423</v>
      </c>
      <c r="AS65" s="37">
        <f>AM65+AN65</f>
        <v>0</v>
      </c>
      <c r="AT65" s="37">
        <f>G65/(100-AU65)*100</f>
        <v>0</v>
      </c>
      <c r="AU65" s="37">
        <v>0</v>
      </c>
      <c r="AV65" s="37">
        <f>L65</f>
        <v>0.03375</v>
      </c>
    </row>
    <row r="66" spans="4:6" ht="12.75">
      <c r="D66" s="17" t="s">
        <v>31</v>
      </c>
      <c r="F66" s="88">
        <v>25</v>
      </c>
    </row>
    <row r="67" spans="1:37" ht="12.75">
      <c r="A67" s="4"/>
      <c r="B67" s="14" t="s">
        <v>7</v>
      </c>
      <c r="C67" s="14" t="s">
        <v>102</v>
      </c>
      <c r="D67" s="14" t="s">
        <v>245</v>
      </c>
      <c r="E67" s="4" t="s">
        <v>6</v>
      </c>
      <c r="F67" s="4" t="s">
        <v>6</v>
      </c>
      <c r="G67" s="4" t="s">
        <v>6</v>
      </c>
      <c r="H67" s="40">
        <f>SUM(H68:H78)</f>
        <v>0</v>
      </c>
      <c r="I67" s="40">
        <f>SUM(I68:I78)</f>
        <v>0</v>
      </c>
      <c r="J67" s="40">
        <f>H67+I67</f>
        <v>0</v>
      </c>
      <c r="K67" s="29"/>
      <c r="L67" s="40">
        <f>SUM(L68:L78)</f>
        <v>7.6170792</v>
      </c>
      <c r="M67" s="29"/>
      <c r="Y67" s="29" t="s">
        <v>7</v>
      </c>
      <c r="AI67" s="40">
        <f>SUM(Z68:Z78)</f>
        <v>0</v>
      </c>
      <c r="AJ67" s="40">
        <f>SUM(AA68:AA78)</f>
        <v>0</v>
      </c>
      <c r="AK67" s="40">
        <f>SUM(AB68:AB78)</f>
        <v>0</v>
      </c>
    </row>
    <row r="68" spans="1:48" ht="12.75">
      <c r="A68" s="5" t="s">
        <v>29</v>
      </c>
      <c r="B68" s="5" t="s">
        <v>7</v>
      </c>
      <c r="C68" s="5" t="s">
        <v>179</v>
      </c>
      <c r="D68" s="5" t="s">
        <v>246</v>
      </c>
      <c r="E68" s="5" t="s">
        <v>353</v>
      </c>
      <c r="F68" s="86">
        <v>156</v>
      </c>
      <c r="G68" s="21">
        <v>0</v>
      </c>
      <c r="H68" s="21">
        <f>F68*AE68</f>
        <v>0</v>
      </c>
      <c r="I68" s="21">
        <f>J68-H68</f>
        <v>0</v>
      </c>
      <c r="J68" s="21">
        <f>F68*G68</f>
        <v>0</v>
      </c>
      <c r="K68" s="21">
        <v>0</v>
      </c>
      <c r="L68" s="21">
        <f>F68*K68</f>
        <v>0</v>
      </c>
      <c r="M68" s="33" t="s">
        <v>376</v>
      </c>
      <c r="P68" s="37">
        <f>IF(AG68="5",J68,0)</f>
        <v>0</v>
      </c>
      <c r="R68" s="37">
        <f>IF(AG68="1",H68,0)</f>
        <v>0</v>
      </c>
      <c r="S68" s="37">
        <f>IF(AG68="1",I68,0)</f>
        <v>0</v>
      </c>
      <c r="T68" s="37">
        <f>IF(AG68="7",H68,0)</f>
        <v>0</v>
      </c>
      <c r="U68" s="37">
        <f>IF(AG68="7",I68,0)</f>
        <v>0</v>
      </c>
      <c r="V68" s="37">
        <f>IF(AG68="2",H68,0)</f>
        <v>0</v>
      </c>
      <c r="W68" s="37">
        <f>IF(AG68="2",I68,0)</f>
        <v>0</v>
      </c>
      <c r="X68" s="37">
        <f>IF(AG68="0",J68,0)</f>
        <v>0</v>
      </c>
      <c r="Y68" s="29" t="s">
        <v>7</v>
      </c>
      <c r="Z68" s="21">
        <f>IF(AD68=0,J68,0)</f>
        <v>0</v>
      </c>
      <c r="AA68" s="21">
        <f>IF(AD68=15,J68,0)</f>
        <v>0</v>
      </c>
      <c r="AB68" s="21">
        <f>IF(AD68=21,J68,0)</f>
        <v>0</v>
      </c>
      <c r="AD68" s="37">
        <v>21</v>
      </c>
      <c r="AE68" s="37">
        <f>G68*0</f>
        <v>0</v>
      </c>
      <c r="AF68" s="37">
        <f>G68*(1-0)</f>
        <v>0</v>
      </c>
      <c r="AG68" s="33" t="s">
        <v>7</v>
      </c>
      <c r="AM68" s="37">
        <f>F68*AE68</f>
        <v>0</v>
      </c>
      <c r="AN68" s="37">
        <f>F68*AF68</f>
        <v>0</v>
      </c>
      <c r="AO68" s="38" t="s">
        <v>395</v>
      </c>
      <c r="AP68" s="38" t="s">
        <v>403</v>
      </c>
      <c r="AQ68" s="29" t="s">
        <v>423</v>
      </c>
      <c r="AS68" s="37">
        <f>AM68+AN68</f>
        <v>0</v>
      </c>
      <c r="AT68" s="37">
        <f>G68/(100-AU68)*100</f>
        <v>0</v>
      </c>
      <c r="AU68" s="37">
        <v>0</v>
      </c>
      <c r="AV68" s="37">
        <f>L68</f>
        <v>0</v>
      </c>
    </row>
    <row r="69" spans="4:6" ht="12.75">
      <c r="D69" s="17" t="s">
        <v>247</v>
      </c>
      <c r="F69" s="88">
        <v>156</v>
      </c>
    </row>
    <row r="70" spans="1:48" ht="12.75">
      <c r="A70" s="5" t="s">
        <v>30</v>
      </c>
      <c r="B70" s="5" t="s">
        <v>7</v>
      </c>
      <c r="C70" s="5" t="s">
        <v>180</v>
      </c>
      <c r="D70" s="5" t="s">
        <v>248</v>
      </c>
      <c r="E70" s="5" t="s">
        <v>351</v>
      </c>
      <c r="F70" s="86">
        <v>71.0725</v>
      </c>
      <c r="G70" s="21">
        <v>0</v>
      </c>
      <c r="H70" s="21">
        <f>F70*AE70</f>
        <v>0</v>
      </c>
      <c r="I70" s="21">
        <f>J70-H70</f>
        <v>0</v>
      </c>
      <c r="J70" s="21">
        <f>F70*G70</f>
        <v>0</v>
      </c>
      <c r="K70" s="21">
        <v>0.05492</v>
      </c>
      <c r="L70" s="21">
        <f>F70*K70</f>
        <v>3.9033017</v>
      </c>
      <c r="M70" s="33" t="s">
        <v>376</v>
      </c>
      <c r="P70" s="37">
        <f>IF(AG70="5",J70,0)</f>
        <v>0</v>
      </c>
      <c r="R70" s="37">
        <f>IF(AG70="1",H70,0)</f>
        <v>0</v>
      </c>
      <c r="S70" s="37">
        <f>IF(AG70="1",I70,0)</f>
        <v>0</v>
      </c>
      <c r="T70" s="37">
        <f>IF(AG70="7",H70,0)</f>
        <v>0</v>
      </c>
      <c r="U70" s="37">
        <f>IF(AG70="7",I70,0)</f>
        <v>0</v>
      </c>
      <c r="V70" s="37">
        <f>IF(AG70="2",H70,0)</f>
        <v>0</v>
      </c>
      <c r="W70" s="37">
        <f>IF(AG70="2",I70,0)</f>
        <v>0</v>
      </c>
      <c r="X70" s="37">
        <f>IF(AG70="0",J70,0)</f>
        <v>0</v>
      </c>
      <c r="Y70" s="29" t="s">
        <v>7</v>
      </c>
      <c r="Z70" s="21">
        <f>IF(AD70=0,J70,0)</f>
        <v>0</v>
      </c>
      <c r="AA70" s="21">
        <f>IF(AD70=15,J70,0)</f>
        <v>0</v>
      </c>
      <c r="AB70" s="21">
        <f>IF(AD70=21,J70,0)</f>
        <v>0</v>
      </c>
      <c r="AD70" s="37">
        <v>21</v>
      </c>
      <c r="AE70" s="37">
        <f>G70*0.136015266907295</f>
        <v>0</v>
      </c>
      <c r="AF70" s="37">
        <f>G70*(1-0.136015266907295)</f>
        <v>0</v>
      </c>
      <c r="AG70" s="33" t="s">
        <v>7</v>
      </c>
      <c r="AM70" s="37">
        <f>F70*AE70</f>
        <v>0</v>
      </c>
      <c r="AN70" s="37">
        <f>F70*AF70</f>
        <v>0</v>
      </c>
      <c r="AO70" s="38" t="s">
        <v>395</v>
      </c>
      <c r="AP70" s="38" t="s">
        <v>403</v>
      </c>
      <c r="AQ70" s="29" t="s">
        <v>423</v>
      </c>
      <c r="AS70" s="37">
        <f>AM70+AN70</f>
        <v>0</v>
      </c>
      <c r="AT70" s="37">
        <f>G70/(100-AU70)*100</f>
        <v>0</v>
      </c>
      <c r="AU70" s="37">
        <v>0</v>
      </c>
      <c r="AV70" s="37">
        <f>L70</f>
        <v>3.9033017</v>
      </c>
    </row>
    <row r="71" spans="4:6" ht="12.75">
      <c r="D71" s="17" t="s">
        <v>249</v>
      </c>
      <c r="F71" s="88">
        <v>71.0725</v>
      </c>
    </row>
    <row r="72" spans="1:48" ht="12.75">
      <c r="A72" s="5" t="s">
        <v>31</v>
      </c>
      <c r="B72" s="5" t="s">
        <v>7</v>
      </c>
      <c r="C72" s="5" t="s">
        <v>181</v>
      </c>
      <c r="D72" s="5" t="s">
        <v>250</v>
      </c>
      <c r="E72" s="5" t="s">
        <v>351</v>
      </c>
      <c r="F72" s="86">
        <v>9.6425</v>
      </c>
      <c r="G72" s="21">
        <v>0</v>
      </c>
      <c r="H72" s="21">
        <f>F72*AE72</f>
        <v>0</v>
      </c>
      <c r="I72" s="21">
        <f>J72-H72</f>
        <v>0</v>
      </c>
      <c r="J72" s="21">
        <f>F72*G72</f>
        <v>0</v>
      </c>
      <c r="K72" s="21">
        <v>0.068</v>
      </c>
      <c r="L72" s="21">
        <f>F72*K72</f>
        <v>0.6556900000000001</v>
      </c>
      <c r="M72" s="33" t="s">
        <v>376</v>
      </c>
      <c r="P72" s="37">
        <f>IF(AG72="5",J72,0)</f>
        <v>0</v>
      </c>
      <c r="R72" s="37">
        <f>IF(AG72="1",H72,0)</f>
        <v>0</v>
      </c>
      <c r="S72" s="37">
        <f>IF(AG72="1",I72,0)</f>
        <v>0</v>
      </c>
      <c r="T72" s="37">
        <f>IF(AG72="7",H72,0)</f>
        <v>0</v>
      </c>
      <c r="U72" s="37">
        <f>IF(AG72="7",I72,0)</f>
        <v>0</v>
      </c>
      <c r="V72" s="37">
        <f>IF(AG72="2",H72,0)</f>
        <v>0</v>
      </c>
      <c r="W72" s="37">
        <f>IF(AG72="2",I72,0)</f>
        <v>0</v>
      </c>
      <c r="X72" s="37">
        <f>IF(AG72="0",J72,0)</f>
        <v>0</v>
      </c>
      <c r="Y72" s="29" t="s">
        <v>7</v>
      </c>
      <c r="Z72" s="21">
        <f>IF(AD72=0,J72,0)</f>
        <v>0</v>
      </c>
      <c r="AA72" s="21">
        <f>IF(AD72=15,J72,0)</f>
        <v>0</v>
      </c>
      <c r="AB72" s="21">
        <f>IF(AD72=21,J72,0)</f>
        <v>0</v>
      </c>
      <c r="AD72" s="37">
        <v>21</v>
      </c>
      <c r="AE72" s="37">
        <f>G72*0.130115538603696</f>
        <v>0</v>
      </c>
      <c r="AF72" s="37">
        <f>G72*(1-0.130115538603696)</f>
        <v>0</v>
      </c>
      <c r="AG72" s="33" t="s">
        <v>7</v>
      </c>
      <c r="AM72" s="37">
        <f>F72*AE72</f>
        <v>0</v>
      </c>
      <c r="AN72" s="37">
        <f>F72*AF72</f>
        <v>0</v>
      </c>
      <c r="AO72" s="38" t="s">
        <v>395</v>
      </c>
      <c r="AP72" s="38" t="s">
        <v>403</v>
      </c>
      <c r="AQ72" s="29" t="s">
        <v>423</v>
      </c>
      <c r="AS72" s="37">
        <f>AM72+AN72</f>
        <v>0</v>
      </c>
      <c r="AT72" s="37">
        <f>G72/(100-AU72)*100</f>
        <v>0</v>
      </c>
      <c r="AU72" s="37">
        <v>0</v>
      </c>
      <c r="AV72" s="37">
        <f>L72</f>
        <v>0.6556900000000001</v>
      </c>
    </row>
    <row r="73" spans="4:6" ht="12.75">
      <c r="D73" s="17" t="s">
        <v>251</v>
      </c>
      <c r="F73" s="88">
        <v>9.6425</v>
      </c>
    </row>
    <row r="74" spans="1:48" ht="12.75">
      <c r="A74" s="5" t="s">
        <v>32</v>
      </c>
      <c r="B74" s="5" t="s">
        <v>7</v>
      </c>
      <c r="C74" s="5" t="s">
        <v>182</v>
      </c>
      <c r="D74" s="5" t="s">
        <v>252</v>
      </c>
      <c r="E74" s="5" t="s">
        <v>353</v>
      </c>
      <c r="F74" s="86">
        <v>4</v>
      </c>
      <c r="G74" s="21">
        <v>0</v>
      </c>
      <c r="H74" s="21">
        <f>F74*AE74</f>
        <v>0</v>
      </c>
      <c r="I74" s="21">
        <f>J74-H74</f>
        <v>0</v>
      </c>
      <c r="J74" s="21">
        <f>F74*G74</f>
        <v>0</v>
      </c>
      <c r="K74" s="21">
        <v>0</v>
      </c>
      <c r="L74" s="21">
        <f>F74*K74</f>
        <v>0</v>
      </c>
      <c r="M74" s="33" t="s">
        <v>376</v>
      </c>
      <c r="P74" s="37">
        <f>IF(AG74="5",J74,0)</f>
        <v>0</v>
      </c>
      <c r="R74" s="37">
        <f>IF(AG74="1",H74,0)</f>
        <v>0</v>
      </c>
      <c r="S74" s="37">
        <f>IF(AG74="1",I74,0)</f>
        <v>0</v>
      </c>
      <c r="T74" s="37">
        <f>IF(AG74="7",H74,0)</f>
        <v>0</v>
      </c>
      <c r="U74" s="37">
        <f>IF(AG74="7",I74,0)</f>
        <v>0</v>
      </c>
      <c r="V74" s="37">
        <f>IF(AG74="2",H74,0)</f>
        <v>0</v>
      </c>
      <c r="W74" s="37">
        <f>IF(AG74="2",I74,0)</f>
        <v>0</v>
      </c>
      <c r="X74" s="37">
        <f>IF(AG74="0",J74,0)</f>
        <v>0</v>
      </c>
      <c r="Y74" s="29" t="s">
        <v>7</v>
      </c>
      <c r="Z74" s="21">
        <f>IF(AD74=0,J74,0)</f>
        <v>0</v>
      </c>
      <c r="AA74" s="21">
        <f>IF(AD74=15,J74,0)</f>
        <v>0</v>
      </c>
      <c r="AB74" s="21">
        <f>IF(AD74=21,J74,0)</f>
        <v>0</v>
      </c>
      <c r="AD74" s="37">
        <v>21</v>
      </c>
      <c r="AE74" s="37">
        <f>G74*0</f>
        <v>0</v>
      </c>
      <c r="AF74" s="37">
        <f>G74*(1-0)</f>
        <v>0</v>
      </c>
      <c r="AG74" s="33" t="s">
        <v>7</v>
      </c>
      <c r="AM74" s="37">
        <f>F74*AE74</f>
        <v>0</v>
      </c>
      <c r="AN74" s="37">
        <f>F74*AF74</f>
        <v>0</v>
      </c>
      <c r="AO74" s="38" t="s">
        <v>395</v>
      </c>
      <c r="AP74" s="38" t="s">
        <v>403</v>
      </c>
      <c r="AQ74" s="29" t="s">
        <v>423</v>
      </c>
      <c r="AS74" s="37">
        <f>AM74+AN74</f>
        <v>0</v>
      </c>
      <c r="AT74" s="37">
        <f>G74/(100-AU74)*100</f>
        <v>0</v>
      </c>
      <c r="AU74" s="37">
        <v>0</v>
      </c>
      <c r="AV74" s="37">
        <f>L74</f>
        <v>0</v>
      </c>
    </row>
    <row r="75" spans="4:6" ht="12.75">
      <c r="D75" s="17" t="s">
        <v>253</v>
      </c>
      <c r="F75" s="88">
        <v>4</v>
      </c>
    </row>
    <row r="76" spans="1:48" ht="12.75">
      <c r="A76" s="5" t="s">
        <v>33</v>
      </c>
      <c r="B76" s="5" t="s">
        <v>7</v>
      </c>
      <c r="C76" s="5" t="s">
        <v>183</v>
      </c>
      <c r="D76" s="5" t="s">
        <v>254</v>
      </c>
      <c r="E76" s="5" t="s">
        <v>351</v>
      </c>
      <c r="F76" s="86">
        <v>12.5</v>
      </c>
      <c r="G76" s="21">
        <v>0</v>
      </c>
      <c r="H76" s="21">
        <f>F76*AE76</f>
        <v>0</v>
      </c>
      <c r="I76" s="21">
        <f>J76-H76</f>
        <v>0</v>
      </c>
      <c r="J76" s="21">
        <f>F76*G76</f>
        <v>0</v>
      </c>
      <c r="K76" s="21">
        <v>0.004</v>
      </c>
      <c r="L76" s="21">
        <f>F76*K76</f>
        <v>0.05</v>
      </c>
      <c r="M76" s="33" t="s">
        <v>376</v>
      </c>
      <c r="P76" s="37">
        <f>IF(AG76="5",J76,0)</f>
        <v>0</v>
      </c>
      <c r="R76" s="37">
        <f>IF(AG76="1",H76,0)</f>
        <v>0</v>
      </c>
      <c r="S76" s="37">
        <f>IF(AG76="1",I76,0)</f>
        <v>0</v>
      </c>
      <c r="T76" s="37">
        <f>IF(AG76="7",H76,0)</f>
        <v>0</v>
      </c>
      <c r="U76" s="37">
        <f>IF(AG76="7",I76,0)</f>
        <v>0</v>
      </c>
      <c r="V76" s="37">
        <f>IF(AG76="2",H76,0)</f>
        <v>0</v>
      </c>
      <c r="W76" s="37">
        <f>IF(AG76="2",I76,0)</f>
        <v>0</v>
      </c>
      <c r="X76" s="37">
        <f>IF(AG76="0",J76,0)</f>
        <v>0</v>
      </c>
      <c r="Y76" s="29" t="s">
        <v>7</v>
      </c>
      <c r="Z76" s="21">
        <f>IF(AD76=0,J76,0)</f>
        <v>0</v>
      </c>
      <c r="AA76" s="21">
        <f>IF(AD76=15,J76,0)</f>
        <v>0</v>
      </c>
      <c r="AB76" s="21">
        <f>IF(AD76=21,J76,0)</f>
        <v>0</v>
      </c>
      <c r="AD76" s="37">
        <v>21</v>
      </c>
      <c r="AE76" s="37">
        <f>G76*0</f>
        <v>0</v>
      </c>
      <c r="AF76" s="37">
        <f>G76*(1-0)</f>
        <v>0</v>
      </c>
      <c r="AG76" s="33" t="s">
        <v>7</v>
      </c>
      <c r="AM76" s="37">
        <f>F76*AE76</f>
        <v>0</v>
      </c>
      <c r="AN76" s="37">
        <f>F76*AF76</f>
        <v>0</v>
      </c>
      <c r="AO76" s="38" t="s">
        <v>395</v>
      </c>
      <c r="AP76" s="38" t="s">
        <v>403</v>
      </c>
      <c r="AQ76" s="29" t="s">
        <v>423</v>
      </c>
      <c r="AS76" s="37">
        <f>AM76+AN76</f>
        <v>0</v>
      </c>
      <c r="AT76" s="37">
        <f>G76/(100-AU76)*100</f>
        <v>0</v>
      </c>
      <c r="AU76" s="37">
        <v>0</v>
      </c>
      <c r="AV76" s="37">
        <f>L76</f>
        <v>0.05</v>
      </c>
    </row>
    <row r="77" spans="4:6" ht="12.75">
      <c r="D77" s="17" t="s">
        <v>255</v>
      </c>
      <c r="F77" s="88">
        <v>12.5</v>
      </c>
    </row>
    <row r="78" spans="1:48" ht="12.75">
      <c r="A78" s="5" t="s">
        <v>34</v>
      </c>
      <c r="B78" s="5" t="s">
        <v>7</v>
      </c>
      <c r="C78" s="5" t="s">
        <v>184</v>
      </c>
      <c r="D78" s="5" t="s">
        <v>256</v>
      </c>
      <c r="E78" s="5" t="s">
        <v>351</v>
      </c>
      <c r="F78" s="86">
        <v>54.6925</v>
      </c>
      <c r="G78" s="21">
        <v>0</v>
      </c>
      <c r="H78" s="21">
        <f>F78*AE78</f>
        <v>0</v>
      </c>
      <c r="I78" s="21">
        <f>J78-H78</f>
        <v>0</v>
      </c>
      <c r="J78" s="21">
        <f>F78*G78</f>
        <v>0</v>
      </c>
      <c r="K78" s="21">
        <v>0.055</v>
      </c>
      <c r="L78" s="21">
        <f>F78*K78</f>
        <v>3.0080875000000002</v>
      </c>
      <c r="M78" s="33" t="s">
        <v>376</v>
      </c>
      <c r="P78" s="37">
        <f>IF(AG78="5",J78,0)</f>
        <v>0</v>
      </c>
      <c r="R78" s="37">
        <f>IF(AG78="1",H78,0)</f>
        <v>0</v>
      </c>
      <c r="S78" s="37">
        <f>IF(AG78="1",I78,0)</f>
        <v>0</v>
      </c>
      <c r="T78" s="37">
        <f>IF(AG78="7",H78,0)</f>
        <v>0</v>
      </c>
      <c r="U78" s="37">
        <f>IF(AG78="7",I78,0)</f>
        <v>0</v>
      </c>
      <c r="V78" s="37">
        <f>IF(AG78="2",H78,0)</f>
        <v>0</v>
      </c>
      <c r="W78" s="37">
        <f>IF(AG78="2",I78,0)</f>
        <v>0</v>
      </c>
      <c r="X78" s="37">
        <f>IF(AG78="0",J78,0)</f>
        <v>0</v>
      </c>
      <c r="Y78" s="29" t="s">
        <v>7</v>
      </c>
      <c r="Z78" s="21">
        <f>IF(AD78=0,J78,0)</f>
        <v>0</v>
      </c>
      <c r="AA78" s="21">
        <f>IF(AD78=15,J78,0)</f>
        <v>0</v>
      </c>
      <c r="AB78" s="21">
        <f>IF(AD78=21,J78,0)</f>
        <v>0</v>
      </c>
      <c r="AD78" s="37">
        <v>21</v>
      </c>
      <c r="AE78" s="37">
        <f>G78*0</f>
        <v>0</v>
      </c>
      <c r="AF78" s="37">
        <f>G78*(1-0)</f>
        <v>0</v>
      </c>
      <c r="AG78" s="33" t="s">
        <v>7</v>
      </c>
      <c r="AM78" s="37">
        <f>F78*AE78</f>
        <v>0</v>
      </c>
      <c r="AN78" s="37">
        <f>F78*AF78</f>
        <v>0</v>
      </c>
      <c r="AO78" s="38" t="s">
        <v>395</v>
      </c>
      <c r="AP78" s="38" t="s">
        <v>403</v>
      </c>
      <c r="AQ78" s="29" t="s">
        <v>423</v>
      </c>
      <c r="AS78" s="37">
        <f>AM78+AN78</f>
        <v>0</v>
      </c>
      <c r="AT78" s="37">
        <f>G78/(100-AU78)*100</f>
        <v>0</v>
      </c>
      <c r="AU78" s="37">
        <v>0</v>
      </c>
      <c r="AV78" s="37">
        <f>L78</f>
        <v>3.0080875000000002</v>
      </c>
    </row>
    <row r="79" spans="4:6" ht="12.75">
      <c r="D79" s="17" t="s">
        <v>257</v>
      </c>
      <c r="F79" s="88">
        <v>54.6925</v>
      </c>
    </row>
    <row r="80" spans="1:37" ht="12.75">
      <c r="A80" s="4"/>
      <c r="B80" s="14" t="s">
        <v>7</v>
      </c>
      <c r="C80" s="14" t="s">
        <v>185</v>
      </c>
      <c r="D80" s="14" t="s">
        <v>258</v>
      </c>
      <c r="E80" s="4" t="s">
        <v>6</v>
      </c>
      <c r="F80" s="4" t="s">
        <v>6</v>
      </c>
      <c r="G80" s="4" t="s">
        <v>6</v>
      </c>
      <c r="H80" s="40">
        <f>SUM(H81:H83)</f>
        <v>0</v>
      </c>
      <c r="I80" s="40">
        <f>SUM(I81:I83)</f>
        <v>0</v>
      </c>
      <c r="J80" s="40">
        <f>H80+I80</f>
        <v>0</v>
      </c>
      <c r="K80" s="29"/>
      <c r="L80" s="40">
        <f>SUM(L81:L83)</f>
        <v>0</v>
      </c>
      <c r="M80" s="29"/>
      <c r="Y80" s="29" t="s">
        <v>7</v>
      </c>
      <c r="AI80" s="40">
        <f>SUM(Z81:Z83)</f>
        <v>0</v>
      </c>
      <c r="AJ80" s="40">
        <f>SUM(AA81:AA83)</f>
        <v>0</v>
      </c>
      <c r="AK80" s="40">
        <f>SUM(AB81:AB83)</f>
        <v>0</v>
      </c>
    </row>
    <row r="81" spans="1:48" ht="12.75">
      <c r="A81" s="5" t="s">
        <v>35</v>
      </c>
      <c r="B81" s="5" t="s">
        <v>7</v>
      </c>
      <c r="C81" s="5" t="s">
        <v>186</v>
      </c>
      <c r="D81" s="5" t="s">
        <v>259</v>
      </c>
      <c r="E81" s="5" t="s">
        <v>356</v>
      </c>
      <c r="F81" s="86">
        <v>22.98</v>
      </c>
      <c r="G81" s="21">
        <v>0</v>
      </c>
      <c r="H81" s="21">
        <f>F81*AE81</f>
        <v>0</v>
      </c>
      <c r="I81" s="21">
        <f>J81-H81</f>
        <v>0</v>
      </c>
      <c r="J81" s="21">
        <f>F81*G81</f>
        <v>0</v>
      </c>
      <c r="K81" s="21">
        <v>0</v>
      </c>
      <c r="L81" s="21">
        <f>F81*K81</f>
        <v>0</v>
      </c>
      <c r="M81" s="33" t="s">
        <v>376</v>
      </c>
      <c r="P81" s="37">
        <f>IF(AG81="5",J81,0)</f>
        <v>0</v>
      </c>
      <c r="R81" s="37">
        <f>IF(AG81="1",H81,0)</f>
        <v>0</v>
      </c>
      <c r="S81" s="37">
        <f>IF(AG81="1",I81,0)</f>
        <v>0</v>
      </c>
      <c r="T81" s="37">
        <f>IF(AG81="7",H81,0)</f>
        <v>0</v>
      </c>
      <c r="U81" s="37">
        <f>IF(AG81="7",I81,0)</f>
        <v>0</v>
      </c>
      <c r="V81" s="37">
        <f>IF(AG81="2",H81,0)</f>
        <v>0</v>
      </c>
      <c r="W81" s="37">
        <f>IF(AG81="2",I81,0)</f>
        <v>0</v>
      </c>
      <c r="X81" s="37">
        <f>IF(AG81="0",J81,0)</f>
        <v>0</v>
      </c>
      <c r="Y81" s="29" t="s">
        <v>7</v>
      </c>
      <c r="Z81" s="21">
        <f>IF(AD81=0,J81,0)</f>
        <v>0</v>
      </c>
      <c r="AA81" s="21">
        <f>IF(AD81=15,J81,0)</f>
        <v>0</v>
      </c>
      <c r="AB81" s="21">
        <f>IF(AD81=21,J81,0)</f>
        <v>0</v>
      </c>
      <c r="AD81" s="37">
        <v>21</v>
      </c>
      <c r="AE81" s="37">
        <f>G81*0</f>
        <v>0</v>
      </c>
      <c r="AF81" s="37">
        <f>G81*(1-0)</f>
        <v>0</v>
      </c>
      <c r="AG81" s="33" t="s">
        <v>11</v>
      </c>
      <c r="AM81" s="37">
        <f>F81*AE81</f>
        <v>0</v>
      </c>
      <c r="AN81" s="37">
        <f>F81*AF81</f>
        <v>0</v>
      </c>
      <c r="AO81" s="38" t="s">
        <v>396</v>
      </c>
      <c r="AP81" s="38" t="s">
        <v>403</v>
      </c>
      <c r="AQ81" s="29" t="s">
        <v>423</v>
      </c>
      <c r="AS81" s="37">
        <f>AM81+AN81</f>
        <v>0</v>
      </c>
      <c r="AT81" s="37">
        <f>G81/(100-AU81)*100</f>
        <v>0</v>
      </c>
      <c r="AU81" s="37">
        <v>0</v>
      </c>
      <c r="AV81" s="37">
        <f>L81</f>
        <v>0</v>
      </c>
    </row>
    <row r="82" spans="4:6" ht="12.75">
      <c r="D82" s="17" t="s">
        <v>260</v>
      </c>
      <c r="F82" s="88">
        <v>22.98</v>
      </c>
    </row>
    <row r="83" spans="1:48" ht="12.75">
      <c r="A83" s="5" t="s">
        <v>36</v>
      </c>
      <c r="B83" s="5" t="s">
        <v>7</v>
      </c>
      <c r="C83" s="5" t="s">
        <v>187</v>
      </c>
      <c r="D83" s="5" t="s">
        <v>261</v>
      </c>
      <c r="E83" s="5" t="s">
        <v>356</v>
      </c>
      <c r="F83" s="86">
        <v>459.6</v>
      </c>
      <c r="G83" s="21">
        <v>0</v>
      </c>
      <c r="H83" s="21">
        <f>F83*AE83</f>
        <v>0</v>
      </c>
      <c r="I83" s="21">
        <f>J83-H83</f>
        <v>0</v>
      </c>
      <c r="J83" s="21">
        <f>F83*G83</f>
        <v>0</v>
      </c>
      <c r="K83" s="21">
        <v>0</v>
      </c>
      <c r="L83" s="21">
        <f>F83*K83</f>
        <v>0</v>
      </c>
      <c r="M83" s="33" t="s">
        <v>376</v>
      </c>
      <c r="P83" s="37">
        <f>IF(AG83="5",J83,0)</f>
        <v>0</v>
      </c>
      <c r="R83" s="37">
        <f>IF(AG83="1",H83,0)</f>
        <v>0</v>
      </c>
      <c r="S83" s="37">
        <f>IF(AG83="1",I83,0)</f>
        <v>0</v>
      </c>
      <c r="T83" s="37">
        <f>IF(AG83="7",H83,0)</f>
        <v>0</v>
      </c>
      <c r="U83" s="37">
        <f>IF(AG83="7",I83,0)</f>
        <v>0</v>
      </c>
      <c r="V83" s="37">
        <f>IF(AG83="2",H83,0)</f>
        <v>0</v>
      </c>
      <c r="W83" s="37">
        <f>IF(AG83="2",I83,0)</f>
        <v>0</v>
      </c>
      <c r="X83" s="37">
        <f>IF(AG83="0",J83,0)</f>
        <v>0</v>
      </c>
      <c r="Y83" s="29" t="s">
        <v>7</v>
      </c>
      <c r="Z83" s="21">
        <f>IF(AD83=0,J83,0)</f>
        <v>0</v>
      </c>
      <c r="AA83" s="21">
        <f>IF(AD83=15,J83,0)</f>
        <v>0</v>
      </c>
      <c r="AB83" s="21">
        <f>IF(AD83=21,J83,0)</f>
        <v>0</v>
      </c>
      <c r="AD83" s="37">
        <v>21</v>
      </c>
      <c r="AE83" s="37">
        <f>G83*0</f>
        <v>0</v>
      </c>
      <c r="AF83" s="37">
        <f>G83*(1-0)</f>
        <v>0</v>
      </c>
      <c r="AG83" s="33" t="s">
        <v>11</v>
      </c>
      <c r="AM83" s="37">
        <f>F83*AE83</f>
        <v>0</v>
      </c>
      <c r="AN83" s="37">
        <f>F83*AF83</f>
        <v>0</v>
      </c>
      <c r="AO83" s="38" t="s">
        <v>396</v>
      </c>
      <c r="AP83" s="38" t="s">
        <v>403</v>
      </c>
      <c r="AQ83" s="29" t="s">
        <v>423</v>
      </c>
      <c r="AS83" s="37">
        <f>AM83+AN83</f>
        <v>0</v>
      </c>
      <c r="AT83" s="37">
        <f>G83/(100-AU83)*100</f>
        <v>0</v>
      </c>
      <c r="AU83" s="37">
        <v>0</v>
      </c>
      <c r="AV83" s="37">
        <f>L83</f>
        <v>0</v>
      </c>
    </row>
    <row r="84" spans="4:6" ht="12.75">
      <c r="D84" s="17" t="s">
        <v>262</v>
      </c>
      <c r="F84" s="88">
        <v>459.6</v>
      </c>
    </row>
    <row r="85" spans="1:37" ht="12.75">
      <c r="A85" s="4"/>
      <c r="B85" s="14" t="s">
        <v>7</v>
      </c>
      <c r="C85" s="14" t="s">
        <v>188</v>
      </c>
      <c r="D85" s="14" t="s">
        <v>227</v>
      </c>
      <c r="E85" s="4" t="s">
        <v>6</v>
      </c>
      <c r="F85" s="4" t="s">
        <v>6</v>
      </c>
      <c r="G85" s="4" t="s">
        <v>6</v>
      </c>
      <c r="H85" s="40">
        <f>SUM(H86:H86)</f>
        <v>0</v>
      </c>
      <c r="I85" s="40">
        <f>SUM(I86:I86)</f>
        <v>0</v>
      </c>
      <c r="J85" s="40">
        <f>H85+I85</f>
        <v>0</v>
      </c>
      <c r="K85" s="29"/>
      <c r="L85" s="40">
        <f>SUM(L86:L86)</f>
        <v>0</v>
      </c>
      <c r="M85" s="29"/>
      <c r="Y85" s="29" t="s">
        <v>7</v>
      </c>
      <c r="AI85" s="40">
        <f>SUM(Z86:Z86)</f>
        <v>0</v>
      </c>
      <c r="AJ85" s="40">
        <f>SUM(AA86:AA86)</f>
        <v>0</v>
      </c>
      <c r="AK85" s="40">
        <f>SUM(AB86:AB86)</f>
        <v>0</v>
      </c>
    </row>
    <row r="86" spans="1:48" ht="12.75">
      <c r="A86" s="5" t="s">
        <v>37</v>
      </c>
      <c r="B86" s="5" t="s">
        <v>7</v>
      </c>
      <c r="C86" s="5" t="s">
        <v>189</v>
      </c>
      <c r="D86" s="5" t="s">
        <v>263</v>
      </c>
      <c r="E86" s="5" t="s">
        <v>356</v>
      </c>
      <c r="F86" s="86">
        <v>22.98</v>
      </c>
      <c r="G86" s="21">
        <v>0</v>
      </c>
      <c r="H86" s="21">
        <f>F86*AE86</f>
        <v>0</v>
      </c>
      <c r="I86" s="21">
        <f>J86-H86</f>
        <v>0</v>
      </c>
      <c r="J86" s="21">
        <f>F86*G86</f>
        <v>0</v>
      </c>
      <c r="K86" s="21">
        <v>0</v>
      </c>
      <c r="L86" s="21">
        <f>F86*K86</f>
        <v>0</v>
      </c>
      <c r="M86" s="33" t="s">
        <v>376</v>
      </c>
      <c r="P86" s="37">
        <f>IF(AG86="5",J86,0)</f>
        <v>0</v>
      </c>
      <c r="R86" s="37">
        <f>IF(AG86="1",H86,0)</f>
        <v>0</v>
      </c>
      <c r="S86" s="37">
        <f>IF(AG86="1",I86,0)</f>
        <v>0</v>
      </c>
      <c r="T86" s="37">
        <f>IF(AG86="7",H86,0)</f>
        <v>0</v>
      </c>
      <c r="U86" s="37">
        <f>IF(AG86="7",I86,0)</f>
        <v>0</v>
      </c>
      <c r="V86" s="37">
        <f>IF(AG86="2",H86,0)</f>
        <v>0</v>
      </c>
      <c r="W86" s="37">
        <f>IF(AG86="2",I86,0)</f>
        <v>0</v>
      </c>
      <c r="X86" s="37">
        <f>IF(AG86="0",J86,0)</f>
        <v>0</v>
      </c>
      <c r="Y86" s="29" t="s">
        <v>7</v>
      </c>
      <c r="Z86" s="21">
        <f>IF(AD86=0,J86,0)</f>
        <v>0</v>
      </c>
      <c r="AA86" s="21">
        <f>IF(AD86=15,J86,0)</f>
        <v>0</v>
      </c>
      <c r="AB86" s="21">
        <f>IF(AD86=21,J86,0)</f>
        <v>0</v>
      </c>
      <c r="AD86" s="37">
        <v>21</v>
      </c>
      <c r="AE86" s="37">
        <f>G86*0</f>
        <v>0</v>
      </c>
      <c r="AF86" s="37">
        <f>G86*(1-0)</f>
        <v>0</v>
      </c>
      <c r="AG86" s="33" t="s">
        <v>11</v>
      </c>
      <c r="AM86" s="37">
        <f>F86*AE86</f>
        <v>0</v>
      </c>
      <c r="AN86" s="37">
        <f>F86*AF86</f>
        <v>0</v>
      </c>
      <c r="AO86" s="38" t="s">
        <v>397</v>
      </c>
      <c r="AP86" s="38" t="s">
        <v>403</v>
      </c>
      <c r="AQ86" s="29" t="s">
        <v>423</v>
      </c>
      <c r="AS86" s="37">
        <f>AM86+AN86</f>
        <v>0</v>
      </c>
      <c r="AT86" s="37">
        <f>G86/(100-AU86)*100</f>
        <v>0</v>
      </c>
      <c r="AU86" s="37">
        <v>0</v>
      </c>
      <c r="AV86" s="37">
        <f>L86</f>
        <v>0</v>
      </c>
    </row>
    <row r="87" spans="4:6" ht="12.75">
      <c r="D87" s="17" t="s">
        <v>264</v>
      </c>
      <c r="F87" s="88">
        <v>22.98</v>
      </c>
    </row>
    <row r="88" spans="1:37" ht="12.75">
      <c r="A88" s="4"/>
      <c r="B88" s="14" t="s">
        <v>7</v>
      </c>
      <c r="C88" s="14" t="s">
        <v>190</v>
      </c>
      <c r="D88" s="14" t="s">
        <v>265</v>
      </c>
      <c r="E88" s="4" t="s">
        <v>6</v>
      </c>
      <c r="F88" s="4" t="s">
        <v>6</v>
      </c>
      <c r="G88" s="4" t="s">
        <v>6</v>
      </c>
      <c r="H88" s="40">
        <f>SUM(H89:H95)</f>
        <v>0</v>
      </c>
      <c r="I88" s="40">
        <f>SUM(I89:I95)</f>
        <v>0</v>
      </c>
      <c r="J88" s="40">
        <f>H88+I88</f>
        <v>0</v>
      </c>
      <c r="K88" s="29"/>
      <c r="L88" s="40">
        <f>SUM(L89:L95)</f>
        <v>0</v>
      </c>
      <c r="M88" s="29"/>
      <c r="Y88" s="29" t="s">
        <v>7</v>
      </c>
      <c r="AI88" s="40">
        <f>SUM(Z89:Z95)</f>
        <v>0</v>
      </c>
      <c r="AJ88" s="40">
        <f>SUM(AA89:AA95)</f>
        <v>0</v>
      </c>
      <c r="AK88" s="40">
        <f>SUM(AB89:AB95)</f>
        <v>0</v>
      </c>
    </row>
    <row r="89" spans="1:48" ht="12.75">
      <c r="A89" s="5" t="s">
        <v>38</v>
      </c>
      <c r="B89" s="5" t="s">
        <v>7</v>
      </c>
      <c r="C89" s="5" t="s">
        <v>191</v>
      </c>
      <c r="D89" s="5" t="s">
        <v>266</v>
      </c>
      <c r="E89" s="5" t="s">
        <v>356</v>
      </c>
      <c r="F89" s="86">
        <v>7.9</v>
      </c>
      <c r="G89" s="21">
        <v>0</v>
      </c>
      <c r="H89" s="21">
        <f>F89*AE89</f>
        <v>0</v>
      </c>
      <c r="I89" s="21">
        <f>J89-H89</f>
        <v>0</v>
      </c>
      <c r="J89" s="21">
        <f>F89*G89</f>
        <v>0</v>
      </c>
      <c r="K89" s="21">
        <v>0</v>
      </c>
      <c r="L89" s="21">
        <f>F89*K89</f>
        <v>0</v>
      </c>
      <c r="M89" s="33" t="s">
        <v>376</v>
      </c>
      <c r="P89" s="37">
        <f>IF(AG89="5",J89,0)</f>
        <v>0</v>
      </c>
      <c r="R89" s="37">
        <f>IF(AG89="1",H89,0)</f>
        <v>0</v>
      </c>
      <c r="S89" s="37">
        <f>IF(AG89="1",I89,0)</f>
        <v>0</v>
      </c>
      <c r="T89" s="37">
        <f>IF(AG89="7",H89,0)</f>
        <v>0</v>
      </c>
      <c r="U89" s="37">
        <f>IF(AG89="7",I89,0)</f>
        <v>0</v>
      </c>
      <c r="V89" s="37">
        <f>IF(AG89="2",H89,0)</f>
        <v>0</v>
      </c>
      <c r="W89" s="37">
        <f>IF(AG89="2",I89,0)</f>
        <v>0</v>
      </c>
      <c r="X89" s="37">
        <f>IF(AG89="0",J89,0)</f>
        <v>0</v>
      </c>
      <c r="Y89" s="29" t="s">
        <v>7</v>
      </c>
      <c r="Z89" s="21">
        <f>IF(AD89=0,J89,0)</f>
        <v>0</v>
      </c>
      <c r="AA89" s="21">
        <f>IF(AD89=15,J89,0)</f>
        <v>0</v>
      </c>
      <c r="AB89" s="21">
        <f>IF(AD89=21,J89,0)</f>
        <v>0</v>
      </c>
      <c r="AD89" s="37">
        <v>21</v>
      </c>
      <c r="AE89" s="37">
        <f>G89*0</f>
        <v>0</v>
      </c>
      <c r="AF89" s="37">
        <f>G89*(1-0)</f>
        <v>0</v>
      </c>
      <c r="AG89" s="33" t="s">
        <v>11</v>
      </c>
      <c r="AM89" s="37">
        <f>F89*AE89</f>
        <v>0</v>
      </c>
      <c r="AN89" s="37">
        <f>F89*AF89</f>
        <v>0</v>
      </c>
      <c r="AO89" s="38" t="s">
        <v>398</v>
      </c>
      <c r="AP89" s="38" t="s">
        <v>403</v>
      </c>
      <c r="AQ89" s="29" t="s">
        <v>423</v>
      </c>
      <c r="AS89" s="37">
        <f>AM89+AN89</f>
        <v>0</v>
      </c>
      <c r="AT89" s="37">
        <f>G89/(100-AU89)*100</f>
        <v>0</v>
      </c>
      <c r="AU89" s="37">
        <v>0</v>
      </c>
      <c r="AV89" s="37">
        <f>L89</f>
        <v>0</v>
      </c>
    </row>
    <row r="90" spans="4:6" ht="12.75">
      <c r="D90" s="17" t="s">
        <v>267</v>
      </c>
      <c r="F90" s="88">
        <v>7.9</v>
      </c>
    </row>
    <row r="91" spans="1:48" ht="12.75">
      <c r="A91" s="5" t="s">
        <v>39</v>
      </c>
      <c r="B91" s="5" t="s">
        <v>7</v>
      </c>
      <c r="C91" s="5" t="s">
        <v>192</v>
      </c>
      <c r="D91" s="5" t="s">
        <v>268</v>
      </c>
      <c r="E91" s="5" t="s">
        <v>356</v>
      </c>
      <c r="F91" s="86">
        <v>7.9</v>
      </c>
      <c r="G91" s="21">
        <v>0</v>
      </c>
      <c r="H91" s="21">
        <f>F91*AE91</f>
        <v>0</v>
      </c>
      <c r="I91" s="21">
        <f>J91-H91</f>
        <v>0</v>
      </c>
      <c r="J91" s="21">
        <f>F91*G91</f>
        <v>0</v>
      </c>
      <c r="K91" s="21">
        <v>0</v>
      </c>
      <c r="L91" s="21">
        <f>F91*K91</f>
        <v>0</v>
      </c>
      <c r="M91" s="33" t="s">
        <v>376</v>
      </c>
      <c r="P91" s="37">
        <f>IF(AG91="5",J91,0)</f>
        <v>0</v>
      </c>
      <c r="R91" s="37">
        <f>IF(AG91="1",H91,0)</f>
        <v>0</v>
      </c>
      <c r="S91" s="37">
        <f>IF(AG91="1",I91,0)</f>
        <v>0</v>
      </c>
      <c r="T91" s="37">
        <f>IF(AG91="7",H91,0)</f>
        <v>0</v>
      </c>
      <c r="U91" s="37">
        <f>IF(AG91="7",I91,0)</f>
        <v>0</v>
      </c>
      <c r="V91" s="37">
        <f>IF(AG91="2",H91,0)</f>
        <v>0</v>
      </c>
      <c r="W91" s="37">
        <f>IF(AG91="2",I91,0)</f>
        <v>0</v>
      </c>
      <c r="X91" s="37">
        <f>IF(AG91="0",J91,0)</f>
        <v>0</v>
      </c>
      <c r="Y91" s="29" t="s">
        <v>7</v>
      </c>
      <c r="Z91" s="21">
        <f>IF(AD91=0,J91,0)</f>
        <v>0</v>
      </c>
      <c r="AA91" s="21">
        <f>IF(AD91=15,J91,0)</f>
        <v>0</v>
      </c>
      <c r="AB91" s="21">
        <f>IF(AD91=21,J91,0)</f>
        <v>0</v>
      </c>
      <c r="AD91" s="37">
        <v>21</v>
      </c>
      <c r="AE91" s="37">
        <f>G91*0</f>
        <v>0</v>
      </c>
      <c r="AF91" s="37">
        <f>G91*(1-0)</f>
        <v>0</v>
      </c>
      <c r="AG91" s="33" t="s">
        <v>11</v>
      </c>
      <c r="AM91" s="37">
        <f>F91*AE91</f>
        <v>0</v>
      </c>
      <c r="AN91" s="37">
        <f>F91*AF91</f>
        <v>0</v>
      </c>
      <c r="AO91" s="38" t="s">
        <v>398</v>
      </c>
      <c r="AP91" s="38" t="s">
        <v>403</v>
      </c>
      <c r="AQ91" s="29" t="s">
        <v>423</v>
      </c>
      <c r="AS91" s="37">
        <f>AM91+AN91</f>
        <v>0</v>
      </c>
      <c r="AT91" s="37">
        <f>G91/(100-AU91)*100</f>
        <v>0</v>
      </c>
      <c r="AU91" s="37">
        <v>0</v>
      </c>
      <c r="AV91" s="37">
        <f>L91</f>
        <v>0</v>
      </c>
    </row>
    <row r="92" spans="4:6" ht="12.75">
      <c r="D92" s="17" t="s">
        <v>269</v>
      </c>
      <c r="F92" s="88">
        <v>7.9</v>
      </c>
    </row>
    <row r="93" spans="1:48" ht="12.75">
      <c r="A93" s="5" t="s">
        <v>40</v>
      </c>
      <c r="B93" s="5" t="s">
        <v>7</v>
      </c>
      <c r="C93" s="5" t="s">
        <v>193</v>
      </c>
      <c r="D93" s="5" t="s">
        <v>270</v>
      </c>
      <c r="E93" s="5" t="s">
        <v>356</v>
      </c>
      <c r="F93" s="86">
        <v>7.9</v>
      </c>
      <c r="G93" s="21">
        <v>0</v>
      </c>
      <c r="H93" s="21">
        <f>F93*AE93</f>
        <v>0</v>
      </c>
      <c r="I93" s="21">
        <f>J93-H93</f>
        <v>0</v>
      </c>
      <c r="J93" s="21">
        <f>F93*G93</f>
        <v>0</v>
      </c>
      <c r="K93" s="21">
        <v>0</v>
      </c>
      <c r="L93" s="21">
        <f>F93*K93</f>
        <v>0</v>
      </c>
      <c r="M93" s="33" t="s">
        <v>376</v>
      </c>
      <c r="P93" s="37">
        <f>IF(AG93="5",J93,0)</f>
        <v>0</v>
      </c>
      <c r="R93" s="37">
        <f>IF(AG93="1",H93,0)</f>
        <v>0</v>
      </c>
      <c r="S93" s="37">
        <f>IF(AG93="1",I93,0)</f>
        <v>0</v>
      </c>
      <c r="T93" s="37">
        <f>IF(AG93="7",H93,0)</f>
        <v>0</v>
      </c>
      <c r="U93" s="37">
        <f>IF(AG93="7",I93,0)</f>
        <v>0</v>
      </c>
      <c r="V93" s="37">
        <f>IF(AG93="2",H93,0)</f>
        <v>0</v>
      </c>
      <c r="W93" s="37">
        <f>IF(AG93="2",I93,0)</f>
        <v>0</v>
      </c>
      <c r="X93" s="37">
        <f>IF(AG93="0",J93,0)</f>
        <v>0</v>
      </c>
      <c r="Y93" s="29" t="s">
        <v>7</v>
      </c>
      <c r="Z93" s="21">
        <f>IF(AD93=0,J93,0)</f>
        <v>0</v>
      </c>
      <c r="AA93" s="21">
        <f>IF(AD93=15,J93,0)</f>
        <v>0</v>
      </c>
      <c r="AB93" s="21">
        <f>IF(AD93=21,J93,0)</f>
        <v>0</v>
      </c>
      <c r="AD93" s="37">
        <v>21</v>
      </c>
      <c r="AE93" s="37">
        <f>G93*0.0101550047363435</f>
        <v>0</v>
      </c>
      <c r="AF93" s="37">
        <f>G93*(1-0.0101550047363435)</f>
        <v>0</v>
      </c>
      <c r="AG93" s="33" t="s">
        <v>11</v>
      </c>
      <c r="AM93" s="37">
        <f>F93*AE93</f>
        <v>0</v>
      </c>
      <c r="AN93" s="37">
        <f>F93*AF93</f>
        <v>0</v>
      </c>
      <c r="AO93" s="38" t="s">
        <v>398</v>
      </c>
      <c r="AP93" s="38" t="s">
        <v>403</v>
      </c>
      <c r="AQ93" s="29" t="s">
        <v>423</v>
      </c>
      <c r="AS93" s="37">
        <f>AM93+AN93</f>
        <v>0</v>
      </c>
      <c r="AT93" s="37">
        <f>G93/(100-AU93)*100</f>
        <v>0</v>
      </c>
      <c r="AU93" s="37">
        <v>0</v>
      </c>
      <c r="AV93" s="37">
        <f>L93</f>
        <v>0</v>
      </c>
    </row>
    <row r="94" spans="4:6" ht="12.75">
      <c r="D94" s="17" t="s">
        <v>269</v>
      </c>
      <c r="F94" s="88">
        <v>7.9</v>
      </c>
    </row>
    <row r="95" spans="1:48" ht="12.75">
      <c r="A95" s="5" t="s">
        <v>41</v>
      </c>
      <c r="B95" s="5" t="s">
        <v>7</v>
      </c>
      <c r="C95" s="5" t="s">
        <v>194</v>
      </c>
      <c r="D95" s="5" t="s">
        <v>271</v>
      </c>
      <c r="E95" s="5" t="s">
        <v>356</v>
      </c>
      <c r="F95" s="86">
        <v>7.9</v>
      </c>
      <c r="G95" s="21">
        <v>0</v>
      </c>
      <c r="H95" s="21">
        <f>F95*AE95</f>
        <v>0</v>
      </c>
      <c r="I95" s="21">
        <f>J95-H95</f>
        <v>0</v>
      </c>
      <c r="J95" s="21">
        <f>F95*G95</f>
        <v>0</v>
      </c>
      <c r="K95" s="21">
        <v>0</v>
      </c>
      <c r="L95" s="21">
        <f>F95*K95</f>
        <v>0</v>
      </c>
      <c r="M95" s="33" t="s">
        <v>376</v>
      </c>
      <c r="P95" s="37">
        <f>IF(AG95="5",J95,0)</f>
        <v>0</v>
      </c>
      <c r="R95" s="37">
        <f>IF(AG95="1",H95,0)</f>
        <v>0</v>
      </c>
      <c r="S95" s="37">
        <f>IF(AG95="1",I95,0)</f>
        <v>0</v>
      </c>
      <c r="T95" s="37">
        <f>IF(AG95="7",H95,0)</f>
        <v>0</v>
      </c>
      <c r="U95" s="37">
        <f>IF(AG95="7",I95,0)</f>
        <v>0</v>
      </c>
      <c r="V95" s="37">
        <f>IF(AG95="2",H95,0)</f>
        <v>0</v>
      </c>
      <c r="W95" s="37">
        <f>IF(AG95="2",I95,0)</f>
        <v>0</v>
      </c>
      <c r="X95" s="37">
        <f>IF(AG95="0",J95,0)</f>
        <v>0</v>
      </c>
      <c r="Y95" s="29" t="s">
        <v>7</v>
      </c>
      <c r="Z95" s="21">
        <f>IF(AD95=0,J95,0)</f>
        <v>0</v>
      </c>
      <c r="AA95" s="21">
        <f>IF(AD95=15,J95,0)</f>
        <v>0</v>
      </c>
      <c r="AB95" s="21">
        <f>IF(AD95=21,J95,0)</f>
        <v>0</v>
      </c>
      <c r="AD95" s="37">
        <v>21</v>
      </c>
      <c r="AE95" s="37">
        <f>G95*0</f>
        <v>0</v>
      </c>
      <c r="AF95" s="37">
        <f>G95*(1-0)</f>
        <v>0</v>
      </c>
      <c r="AG95" s="33" t="s">
        <v>11</v>
      </c>
      <c r="AM95" s="37">
        <f>F95*AE95</f>
        <v>0</v>
      </c>
      <c r="AN95" s="37">
        <f>F95*AF95</f>
        <v>0</v>
      </c>
      <c r="AO95" s="38" t="s">
        <v>398</v>
      </c>
      <c r="AP95" s="38" t="s">
        <v>403</v>
      </c>
      <c r="AQ95" s="29" t="s">
        <v>423</v>
      </c>
      <c r="AS95" s="37">
        <f>AM95+AN95</f>
        <v>0</v>
      </c>
      <c r="AT95" s="37">
        <f>G95/(100-AU95)*100</f>
        <v>0</v>
      </c>
      <c r="AU95" s="37">
        <v>0</v>
      </c>
      <c r="AV95" s="37">
        <f>L95</f>
        <v>0</v>
      </c>
    </row>
    <row r="96" spans="4:6" ht="12.75">
      <c r="D96" s="17" t="s">
        <v>269</v>
      </c>
      <c r="F96" s="88">
        <v>7.9</v>
      </c>
    </row>
    <row r="97" spans="1:13" ht="12.75">
      <c r="A97" s="7"/>
      <c r="B97" s="15" t="s">
        <v>8</v>
      </c>
      <c r="C97" s="15"/>
      <c r="D97" s="15" t="s">
        <v>272</v>
      </c>
      <c r="E97" s="7" t="s">
        <v>6</v>
      </c>
      <c r="F97" s="7" t="s">
        <v>6</v>
      </c>
      <c r="G97" s="7" t="s">
        <v>6</v>
      </c>
      <c r="H97" s="41">
        <f>H98+H101+H106+H109+H116+H121+H124+H129+H138+H143+H146</f>
        <v>0</v>
      </c>
      <c r="I97" s="41">
        <f>I98+I101+I106+I109+I116+I121+I124+I129+I138+I143+I146</f>
        <v>0</v>
      </c>
      <c r="J97" s="41">
        <f>H97+I97</f>
        <v>0</v>
      </c>
      <c r="K97" s="30"/>
      <c r="L97" s="41">
        <f>L98+L101+L106+L109+L116+L121+L124+L129+L138+L143+L146</f>
        <v>13.828502879999998</v>
      </c>
      <c r="M97" s="30"/>
    </row>
    <row r="98" spans="1:37" ht="12.75">
      <c r="A98" s="4"/>
      <c r="B98" s="14" t="s">
        <v>8</v>
      </c>
      <c r="C98" s="14" t="s">
        <v>40</v>
      </c>
      <c r="D98" s="14" t="s">
        <v>203</v>
      </c>
      <c r="E98" s="4" t="s">
        <v>6</v>
      </c>
      <c r="F98" s="4" t="s">
        <v>6</v>
      </c>
      <c r="G98" s="4" t="s">
        <v>6</v>
      </c>
      <c r="H98" s="40">
        <f>SUM(H99:H99)</f>
        <v>0</v>
      </c>
      <c r="I98" s="40">
        <f>SUM(I99:I99)</f>
        <v>0</v>
      </c>
      <c r="J98" s="40">
        <f>H98+I98</f>
        <v>0</v>
      </c>
      <c r="K98" s="29"/>
      <c r="L98" s="40">
        <f>SUM(L99:L99)</f>
        <v>7.567919999999999</v>
      </c>
      <c r="M98" s="29"/>
      <c r="Y98" s="29" t="s">
        <v>8</v>
      </c>
      <c r="AI98" s="40">
        <f>SUM(Z99:Z99)</f>
        <v>0</v>
      </c>
      <c r="AJ98" s="40">
        <f>SUM(AA99:AA99)</f>
        <v>0</v>
      </c>
      <c r="AK98" s="40">
        <f>SUM(AB99:AB99)</f>
        <v>0</v>
      </c>
    </row>
    <row r="99" spans="1:48" ht="12.75">
      <c r="A99" s="5" t="s">
        <v>42</v>
      </c>
      <c r="B99" s="5" t="s">
        <v>8</v>
      </c>
      <c r="C99" s="5" t="s">
        <v>153</v>
      </c>
      <c r="D99" s="5" t="s">
        <v>204</v>
      </c>
      <c r="E99" s="5" t="s">
        <v>350</v>
      </c>
      <c r="F99" s="86">
        <v>82.8</v>
      </c>
      <c r="G99" s="21">
        <v>0</v>
      </c>
      <c r="H99" s="21">
        <f>F99*AE99</f>
        <v>0</v>
      </c>
      <c r="I99" s="21">
        <f>J99-H99</f>
        <v>0</v>
      </c>
      <c r="J99" s="21">
        <f>F99*G99</f>
        <v>0</v>
      </c>
      <c r="K99" s="21">
        <v>0.0914</v>
      </c>
      <c r="L99" s="21">
        <f>F99*K99</f>
        <v>7.567919999999999</v>
      </c>
      <c r="M99" s="33" t="s">
        <v>376</v>
      </c>
      <c r="P99" s="37">
        <f>IF(AG99="5",J99,0)</f>
        <v>0</v>
      </c>
      <c r="R99" s="37">
        <f>IF(AG99="1",H99,0)</f>
        <v>0</v>
      </c>
      <c r="S99" s="37">
        <f>IF(AG99="1",I99,0)</f>
        <v>0</v>
      </c>
      <c r="T99" s="37">
        <f>IF(AG99="7",H99,0)</f>
        <v>0</v>
      </c>
      <c r="U99" s="37">
        <f>IF(AG99="7",I99,0)</f>
        <v>0</v>
      </c>
      <c r="V99" s="37">
        <f>IF(AG99="2",H99,0)</f>
        <v>0</v>
      </c>
      <c r="W99" s="37">
        <f>IF(AG99="2",I99,0)</f>
        <v>0</v>
      </c>
      <c r="X99" s="37">
        <f>IF(AG99="0",J99,0)</f>
        <v>0</v>
      </c>
      <c r="Y99" s="29" t="s">
        <v>8</v>
      </c>
      <c r="Z99" s="21">
        <f>IF(AD99=0,J99,0)</f>
        <v>0</v>
      </c>
      <c r="AA99" s="21">
        <f>IF(AD99=15,J99,0)</f>
        <v>0</v>
      </c>
      <c r="AB99" s="21">
        <f>IF(AD99=21,J99,0)</f>
        <v>0</v>
      </c>
      <c r="AD99" s="37">
        <v>21</v>
      </c>
      <c r="AE99" s="37">
        <f>G99*0.288836201395813</f>
        <v>0</v>
      </c>
      <c r="AF99" s="37">
        <f>G99*(1-0.288836201395813)</f>
        <v>0</v>
      </c>
      <c r="AG99" s="33" t="s">
        <v>7</v>
      </c>
      <c r="AM99" s="37">
        <f>F99*AE99</f>
        <v>0</v>
      </c>
      <c r="AN99" s="37">
        <f>F99*AF99</f>
        <v>0</v>
      </c>
      <c r="AO99" s="38" t="s">
        <v>386</v>
      </c>
      <c r="AP99" s="38" t="s">
        <v>404</v>
      </c>
      <c r="AQ99" s="29" t="s">
        <v>424</v>
      </c>
      <c r="AS99" s="37">
        <f>AM99+AN99</f>
        <v>0</v>
      </c>
      <c r="AT99" s="37">
        <f>G99/(100-AU99)*100</f>
        <v>0</v>
      </c>
      <c r="AU99" s="37">
        <v>0</v>
      </c>
      <c r="AV99" s="37">
        <f>L99</f>
        <v>7.567919999999999</v>
      </c>
    </row>
    <row r="100" spans="4:6" ht="12.75">
      <c r="D100" s="17" t="s">
        <v>273</v>
      </c>
      <c r="F100" s="88">
        <v>82.8</v>
      </c>
    </row>
    <row r="101" spans="1:37" ht="12.75">
      <c r="A101" s="4"/>
      <c r="B101" s="14" t="s">
        <v>8</v>
      </c>
      <c r="C101" s="14" t="s">
        <v>67</v>
      </c>
      <c r="D101" s="14" t="s">
        <v>206</v>
      </c>
      <c r="E101" s="4" t="s">
        <v>6</v>
      </c>
      <c r="F101" s="4" t="s">
        <v>6</v>
      </c>
      <c r="G101" s="4" t="s">
        <v>6</v>
      </c>
      <c r="H101" s="40">
        <f>SUM(H102:H104)</f>
        <v>0</v>
      </c>
      <c r="I101" s="40">
        <f>SUM(I102:I104)</f>
        <v>0</v>
      </c>
      <c r="J101" s="40">
        <f>H101+I101</f>
        <v>0</v>
      </c>
      <c r="K101" s="29"/>
      <c r="L101" s="40">
        <f>SUM(L102:L104)</f>
        <v>1.0947059999999997</v>
      </c>
      <c r="M101" s="29"/>
      <c r="Y101" s="29" t="s">
        <v>8</v>
      </c>
      <c r="AI101" s="40">
        <f>SUM(Z102:Z104)</f>
        <v>0</v>
      </c>
      <c r="AJ101" s="40">
        <f>SUM(AA102:AA104)</f>
        <v>0</v>
      </c>
      <c r="AK101" s="40">
        <f>SUM(AB102:AB104)</f>
        <v>0</v>
      </c>
    </row>
    <row r="102" spans="1:48" ht="12.75">
      <c r="A102" s="5" t="s">
        <v>43</v>
      </c>
      <c r="B102" s="5" t="s">
        <v>8</v>
      </c>
      <c r="C102" s="5" t="s">
        <v>154</v>
      </c>
      <c r="D102" s="5" t="s">
        <v>207</v>
      </c>
      <c r="E102" s="5" t="s">
        <v>351</v>
      </c>
      <c r="F102" s="86">
        <v>31.32</v>
      </c>
      <c r="G102" s="21">
        <v>0</v>
      </c>
      <c r="H102" s="21">
        <f>F102*AE102</f>
        <v>0</v>
      </c>
      <c r="I102" s="21">
        <f>J102-H102</f>
        <v>0</v>
      </c>
      <c r="J102" s="21">
        <f>F102*G102</f>
        <v>0</v>
      </c>
      <c r="K102" s="21">
        <v>0.03491</v>
      </c>
      <c r="L102" s="21">
        <f>F102*K102</f>
        <v>1.0933811999999998</v>
      </c>
      <c r="M102" s="33" t="s">
        <v>376</v>
      </c>
      <c r="P102" s="37">
        <f>IF(AG102="5",J102,0)</f>
        <v>0</v>
      </c>
      <c r="R102" s="37">
        <f>IF(AG102="1",H102,0)</f>
        <v>0</v>
      </c>
      <c r="S102" s="37">
        <f>IF(AG102="1",I102,0)</f>
        <v>0</v>
      </c>
      <c r="T102" s="37">
        <f>IF(AG102="7",H102,0)</f>
        <v>0</v>
      </c>
      <c r="U102" s="37">
        <f>IF(AG102="7",I102,0)</f>
        <v>0</v>
      </c>
      <c r="V102" s="37">
        <f>IF(AG102="2",H102,0)</f>
        <v>0</v>
      </c>
      <c r="W102" s="37">
        <f>IF(AG102="2",I102,0)</f>
        <v>0</v>
      </c>
      <c r="X102" s="37">
        <f>IF(AG102="0",J102,0)</f>
        <v>0</v>
      </c>
      <c r="Y102" s="29" t="s">
        <v>8</v>
      </c>
      <c r="Z102" s="21">
        <f>IF(AD102=0,J102,0)</f>
        <v>0</v>
      </c>
      <c r="AA102" s="21">
        <f>IF(AD102=15,J102,0)</f>
        <v>0</v>
      </c>
      <c r="AB102" s="21">
        <f>IF(AD102=21,J102,0)</f>
        <v>0</v>
      </c>
      <c r="AD102" s="37">
        <v>21</v>
      </c>
      <c r="AE102" s="37">
        <f>G102*0.225931090909091</f>
        <v>0</v>
      </c>
      <c r="AF102" s="37">
        <f>G102*(1-0.225931090909091)</f>
        <v>0</v>
      </c>
      <c r="AG102" s="33" t="s">
        <v>7</v>
      </c>
      <c r="AM102" s="37">
        <f>F102*AE102</f>
        <v>0</v>
      </c>
      <c r="AN102" s="37">
        <f>F102*AF102</f>
        <v>0</v>
      </c>
      <c r="AO102" s="38" t="s">
        <v>387</v>
      </c>
      <c r="AP102" s="38" t="s">
        <v>405</v>
      </c>
      <c r="AQ102" s="29" t="s">
        <v>424</v>
      </c>
      <c r="AS102" s="37">
        <f>AM102+AN102</f>
        <v>0</v>
      </c>
      <c r="AT102" s="37">
        <f>G102/(100-AU102)*100</f>
        <v>0</v>
      </c>
      <c r="AU102" s="37">
        <v>0</v>
      </c>
      <c r="AV102" s="37">
        <f>L102</f>
        <v>1.0933811999999998</v>
      </c>
    </row>
    <row r="103" spans="4:6" ht="12.75">
      <c r="D103" s="17" t="s">
        <v>274</v>
      </c>
      <c r="F103" s="88">
        <v>31.32</v>
      </c>
    </row>
    <row r="104" spans="1:48" ht="12.75">
      <c r="A104" s="5" t="s">
        <v>44</v>
      </c>
      <c r="B104" s="5" t="s">
        <v>8</v>
      </c>
      <c r="C104" s="5" t="s">
        <v>155</v>
      </c>
      <c r="D104" s="5" t="s">
        <v>209</v>
      </c>
      <c r="E104" s="5" t="s">
        <v>351</v>
      </c>
      <c r="F104" s="86">
        <v>33.12</v>
      </c>
      <c r="G104" s="21">
        <v>0</v>
      </c>
      <c r="H104" s="21">
        <f>F104*AE104</f>
        <v>0</v>
      </c>
      <c r="I104" s="21">
        <f>J104-H104</f>
        <v>0</v>
      </c>
      <c r="J104" s="21">
        <f>F104*G104</f>
        <v>0</v>
      </c>
      <c r="K104" s="21">
        <v>4E-05</v>
      </c>
      <c r="L104" s="21">
        <f>F104*K104</f>
        <v>0.0013248000000000001</v>
      </c>
      <c r="M104" s="33" t="s">
        <v>376</v>
      </c>
      <c r="P104" s="37">
        <f>IF(AG104="5",J104,0)</f>
        <v>0</v>
      </c>
      <c r="R104" s="37">
        <f>IF(AG104="1",H104,0)</f>
        <v>0</v>
      </c>
      <c r="S104" s="37">
        <f>IF(AG104="1",I104,0)</f>
        <v>0</v>
      </c>
      <c r="T104" s="37">
        <f>IF(AG104="7",H104,0)</f>
        <v>0</v>
      </c>
      <c r="U104" s="37">
        <f>IF(AG104="7",I104,0)</f>
        <v>0</v>
      </c>
      <c r="V104" s="37">
        <f>IF(AG104="2",H104,0)</f>
        <v>0</v>
      </c>
      <c r="W104" s="37">
        <f>IF(AG104="2",I104,0)</f>
        <v>0</v>
      </c>
      <c r="X104" s="37">
        <f>IF(AG104="0",J104,0)</f>
        <v>0</v>
      </c>
      <c r="Y104" s="29" t="s">
        <v>8</v>
      </c>
      <c r="Z104" s="21">
        <f>IF(AD104=0,J104,0)</f>
        <v>0</v>
      </c>
      <c r="AA104" s="21">
        <f>IF(AD104=15,J104,0)</f>
        <v>0</v>
      </c>
      <c r="AB104" s="21">
        <f>IF(AD104=21,J104,0)</f>
        <v>0</v>
      </c>
      <c r="AD104" s="37">
        <v>21</v>
      </c>
      <c r="AE104" s="37">
        <f>G104*0.327996117519042</f>
        <v>0</v>
      </c>
      <c r="AF104" s="37">
        <f>G104*(1-0.327996117519042)</f>
        <v>0</v>
      </c>
      <c r="AG104" s="33" t="s">
        <v>7</v>
      </c>
      <c r="AM104" s="37">
        <f>F104*AE104</f>
        <v>0</v>
      </c>
      <c r="AN104" s="37">
        <f>F104*AF104</f>
        <v>0</v>
      </c>
      <c r="AO104" s="38" t="s">
        <v>387</v>
      </c>
      <c r="AP104" s="38" t="s">
        <v>405</v>
      </c>
      <c r="AQ104" s="29" t="s">
        <v>424</v>
      </c>
      <c r="AS104" s="37">
        <f>AM104+AN104</f>
        <v>0</v>
      </c>
      <c r="AT104" s="37">
        <f>G104/(100-AU104)*100</f>
        <v>0</v>
      </c>
      <c r="AU104" s="37">
        <v>0</v>
      </c>
      <c r="AV104" s="37">
        <f>L104</f>
        <v>0.0013248000000000001</v>
      </c>
    </row>
    <row r="105" spans="4:6" ht="12.75">
      <c r="D105" s="17" t="s">
        <v>275</v>
      </c>
      <c r="F105" s="88">
        <v>33.12</v>
      </c>
    </row>
    <row r="106" spans="1:37" ht="12.75">
      <c r="A106" s="4"/>
      <c r="B106" s="14" t="s">
        <v>8</v>
      </c>
      <c r="C106" s="14" t="s">
        <v>156</v>
      </c>
      <c r="D106" s="14" t="s">
        <v>211</v>
      </c>
      <c r="E106" s="4" t="s">
        <v>6</v>
      </c>
      <c r="F106" s="4" t="s">
        <v>6</v>
      </c>
      <c r="G106" s="4" t="s">
        <v>6</v>
      </c>
      <c r="H106" s="40">
        <f>SUM(H107:H107)</f>
        <v>0</v>
      </c>
      <c r="I106" s="40">
        <f>SUM(I107:I107)</f>
        <v>0</v>
      </c>
      <c r="J106" s="40">
        <f>H106+I106</f>
        <v>0</v>
      </c>
      <c r="K106" s="29"/>
      <c r="L106" s="40">
        <f>SUM(L107:L107)</f>
        <v>0</v>
      </c>
      <c r="M106" s="29"/>
      <c r="Y106" s="29" t="s">
        <v>8</v>
      </c>
      <c r="AI106" s="40">
        <f>SUM(Z107:Z107)</f>
        <v>0</v>
      </c>
      <c r="AJ106" s="40">
        <f>SUM(AA107:AA107)</f>
        <v>0</v>
      </c>
      <c r="AK106" s="40">
        <f>SUM(AB107:AB107)</f>
        <v>0</v>
      </c>
    </row>
    <row r="107" spans="1:48" ht="12.75">
      <c r="A107" s="5" t="s">
        <v>45</v>
      </c>
      <c r="B107" s="5" t="s">
        <v>8</v>
      </c>
      <c r="C107" s="5" t="s">
        <v>157</v>
      </c>
      <c r="D107" s="5" t="s">
        <v>212</v>
      </c>
      <c r="E107" s="5" t="s">
        <v>352</v>
      </c>
      <c r="F107" s="86">
        <v>24</v>
      </c>
      <c r="G107" s="21">
        <v>0</v>
      </c>
      <c r="H107" s="21">
        <f>F107*AE107</f>
        <v>0</v>
      </c>
      <c r="I107" s="21">
        <f>J107-H107</f>
        <v>0</v>
      </c>
      <c r="J107" s="21">
        <f>F107*G107</f>
        <v>0</v>
      </c>
      <c r="K107" s="21">
        <v>0</v>
      </c>
      <c r="L107" s="21">
        <f>F107*K107</f>
        <v>0</v>
      </c>
      <c r="M107" s="33"/>
      <c r="P107" s="37">
        <f>IF(AG107="5",J107,0)</f>
        <v>0</v>
      </c>
      <c r="R107" s="37">
        <f>IF(AG107="1",H107,0)</f>
        <v>0</v>
      </c>
      <c r="S107" s="37">
        <f>IF(AG107="1",I107,0)</f>
        <v>0</v>
      </c>
      <c r="T107" s="37">
        <f>IF(AG107="7",H107,0)</f>
        <v>0</v>
      </c>
      <c r="U107" s="37">
        <f>IF(AG107="7",I107,0)</f>
        <v>0</v>
      </c>
      <c r="V107" s="37">
        <f>IF(AG107="2",H107,0)</f>
        <v>0</v>
      </c>
      <c r="W107" s="37">
        <f>IF(AG107="2",I107,0)</f>
        <v>0</v>
      </c>
      <c r="X107" s="37">
        <f>IF(AG107="0",J107,0)</f>
        <v>0</v>
      </c>
      <c r="Y107" s="29" t="s">
        <v>8</v>
      </c>
      <c r="Z107" s="21">
        <f>IF(AD107=0,J107,0)</f>
        <v>0</v>
      </c>
      <c r="AA107" s="21">
        <f>IF(AD107=15,J107,0)</f>
        <v>0</v>
      </c>
      <c r="AB107" s="21">
        <f>IF(AD107=21,J107,0)</f>
        <v>0</v>
      </c>
      <c r="AD107" s="37">
        <v>21</v>
      </c>
      <c r="AE107" s="37">
        <f>G107*0</f>
        <v>0</v>
      </c>
      <c r="AF107" s="37">
        <f>G107*(1-0)</f>
        <v>0</v>
      </c>
      <c r="AG107" s="33" t="s">
        <v>7</v>
      </c>
      <c r="AM107" s="37">
        <f>F107*AE107</f>
        <v>0</v>
      </c>
      <c r="AN107" s="37">
        <f>F107*AF107</f>
        <v>0</v>
      </c>
      <c r="AO107" s="38" t="s">
        <v>388</v>
      </c>
      <c r="AP107" s="38" t="s">
        <v>405</v>
      </c>
      <c r="AQ107" s="29" t="s">
        <v>424</v>
      </c>
      <c r="AS107" s="37">
        <f>AM107+AN107</f>
        <v>0</v>
      </c>
      <c r="AT107" s="37">
        <f>G107/(100-AU107)*100</f>
        <v>0</v>
      </c>
      <c r="AU107" s="37">
        <v>0</v>
      </c>
      <c r="AV107" s="37">
        <f>L107</f>
        <v>0</v>
      </c>
    </row>
    <row r="108" spans="4:6" ht="12.75">
      <c r="D108" s="17" t="s">
        <v>276</v>
      </c>
      <c r="F108" s="88">
        <v>24</v>
      </c>
    </row>
    <row r="109" spans="1:37" ht="12.75">
      <c r="A109" s="4"/>
      <c r="B109" s="14" t="s">
        <v>8</v>
      </c>
      <c r="C109" s="14" t="s">
        <v>70</v>
      </c>
      <c r="D109" s="14" t="s">
        <v>214</v>
      </c>
      <c r="E109" s="4" t="s">
        <v>6</v>
      </c>
      <c r="F109" s="4" t="s">
        <v>6</v>
      </c>
      <c r="G109" s="4" t="s">
        <v>6</v>
      </c>
      <c r="H109" s="40">
        <f>SUM(H110:H114)</f>
        <v>0</v>
      </c>
      <c r="I109" s="40">
        <f>SUM(I110:I114)</f>
        <v>0</v>
      </c>
      <c r="J109" s="40">
        <f>H109+I109</f>
        <v>0</v>
      </c>
      <c r="K109" s="29"/>
      <c r="L109" s="40">
        <f>SUM(L110:L114)</f>
        <v>0.969708</v>
      </c>
      <c r="M109" s="29"/>
      <c r="Y109" s="29" t="s">
        <v>8</v>
      </c>
      <c r="AI109" s="40">
        <f>SUM(Z110:Z114)</f>
        <v>0</v>
      </c>
      <c r="AJ109" s="40">
        <f>SUM(AA110:AA114)</f>
        <v>0</v>
      </c>
      <c r="AK109" s="40">
        <f>SUM(AB110:AB114)</f>
        <v>0</v>
      </c>
    </row>
    <row r="110" spans="1:48" ht="12.75">
      <c r="A110" s="5" t="s">
        <v>46</v>
      </c>
      <c r="B110" s="5" t="s">
        <v>8</v>
      </c>
      <c r="C110" s="5" t="s">
        <v>158</v>
      </c>
      <c r="D110" s="5" t="s">
        <v>215</v>
      </c>
      <c r="E110" s="5" t="s">
        <v>353</v>
      </c>
      <c r="F110" s="86">
        <v>12</v>
      </c>
      <c r="G110" s="21">
        <v>0</v>
      </c>
      <c r="H110" s="21">
        <f>F110*AE110</f>
        <v>0</v>
      </c>
      <c r="I110" s="21">
        <f>J110-H110</f>
        <v>0</v>
      </c>
      <c r="J110" s="21">
        <f>F110*G110</f>
        <v>0</v>
      </c>
      <c r="K110" s="21">
        <v>0.0614</v>
      </c>
      <c r="L110" s="21">
        <f>F110*K110</f>
        <v>0.7368</v>
      </c>
      <c r="M110" s="33" t="s">
        <v>376</v>
      </c>
      <c r="P110" s="37">
        <f>IF(AG110="5",J110,0)</f>
        <v>0</v>
      </c>
      <c r="R110" s="37">
        <f>IF(AG110="1",H110,0)</f>
        <v>0</v>
      </c>
      <c r="S110" s="37">
        <f>IF(AG110="1",I110,0)</f>
        <v>0</v>
      </c>
      <c r="T110" s="37">
        <f>IF(AG110="7",H110,0)</f>
        <v>0</v>
      </c>
      <c r="U110" s="37">
        <f>IF(AG110="7",I110,0)</f>
        <v>0</v>
      </c>
      <c r="V110" s="37">
        <f>IF(AG110="2",H110,0)</f>
        <v>0</v>
      </c>
      <c r="W110" s="37">
        <f>IF(AG110="2",I110,0)</f>
        <v>0</v>
      </c>
      <c r="X110" s="37">
        <f>IF(AG110="0",J110,0)</f>
        <v>0</v>
      </c>
      <c r="Y110" s="29" t="s">
        <v>8</v>
      </c>
      <c r="Z110" s="21">
        <f>IF(AD110=0,J110,0)</f>
        <v>0</v>
      </c>
      <c r="AA110" s="21">
        <f>IF(AD110=15,J110,0)</f>
        <v>0</v>
      </c>
      <c r="AB110" s="21">
        <f>IF(AD110=21,J110,0)</f>
        <v>0</v>
      </c>
      <c r="AD110" s="37">
        <v>21</v>
      </c>
      <c r="AE110" s="37">
        <f>G110*0.298927313769752</f>
        <v>0</v>
      </c>
      <c r="AF110" s="37">
        <f>G110*(1-0.298927313769752)</f>
        <v>0</v>
      </c>
      <c r="AG110" s="33" t="s">
        <v>7</v>
      </c>
      <c r="AM110" s="37">
        <f>F110*AE110</f>
        <v>0</v>
      </c>
      <c r="AN110" s="37">
        <f>F110*AF110</f>
        <v>0</v>
      </c>
      <c r="AO110" s="38" t="s">
        <v>389</v>
      </c>
      <c r="AP110" s="38" t="s">
        <v>405</v>
      </c>
      <c r="AQ110" s="29" t="s">
        <v>424</v>
      </c>
      <c r="AS110" s="37">
        <f>AM110+AN110</f>
        <v>0</v>
      </c>
      <c r="AT110" s="37">
        <f>G110/(100-AU110)*100</f>
        <v>0</v>
      </c>
      <c r="AU110" s="37">
        <v>0</v>
      </c>
      <c r="AV110" s="37">
        <f>L110</f>
        <v>0.7368</v>
      </c>
    </row>
    <row r="111" spans="4:6" ht="12.75">
      <c r="D111" s="17" t="s">
        <v>18</v>
      </c>
      <c r="F111" s="88">
        <v>12</v>
      </c>
    </row>
    <row r="112" spans="1:48" ht="12.75">
      <c r="A112" s="5" t="s">
        <v>47</v>
      </c>
      <c r="B112" s="5" t="s">
        <v>8</v>
      </c>
      <c r="C112" s="5" t="s">
        <v>159</v>
      </c>
      <c r="D112" s="5" t="s">
        <v>217</v>
      </c>
      <c r="E112" s="5" t="s">
        <v>350</v>
      </c>
      <c r="F112" s="86">
        <v>82.8</v>
      </c>
      <c r="G112" s="21">
        <v>0</v>
      </c>
      <c r="H112" s="21">
        <f>F112*AE112</f>
        <v>0</v>
      </c>
      <c r="I112" s="21">
        <f>J112-H112</f>
        <v>0</v>
      </c>
      <c r="J112" s="21">
        <f>F112*G112</f>
        <v>0</v>
      </c>
      <c r="K112" s="21">
        <v>0</v>
      </c>
      <c r="L112" s="21">
        <f>F112*K112</f>
        <v>0</v>
      </c>
      <c r="M112" s="33" t="s">
        <v>376</v>
      </c>
      <c r="P112" s="37">
        <f>IF(AG112="5",J112,0)</f>
        <v>0</v>
      </c>
      <c r="R112" s="37">
        <f>IF(AG112="1",H112,0)</f>
        <v>0</v>
      </c>
      <c r="S112" s="37">
        <f>IF(AG112="1",I112,0)</f>
        <v>0</v>
      </c>
      <c r="T112" s="37">
        <f>IF(AG112="7",H112,0)</f>
        <v>0</v>
      </c>
      <c r="U112" s="37">
        <f>IF(AG112="7",I112,0)</f>
        <v>0</v>
      </c>
      <c r="V112" s="37">
        <f>IF(AG112="2",H112,0)</f>
        <v>0</v>
      </c>
      <c r="W112" s="37">
        <f>IF(AG112="2",I112,0)</f>
        <v>0</v>
      </c>
      <c r="X112" s="37">
        <f>IF(AG112="0",J112,0)</f>
        <v>0</v>
      </c>
      <c r="Y112" s="29" t="s">
        <v>8</v>
      </c>
      <c r="Z112" s="21">
        <f>IF(AD112=0,J112,0)</f>
        <v>0</v>
      </c>
      <c r="AA112" s="21">
        <f>IF(AD112=15,J112,0)</f>
        <v>0</v>
      </c>
      <c r="AB112" s="21">
        <f>IF(AD112=21,J112,0)</f>
        <v>0</v>
      </c>
      <c r="AD112" s="37">
        <v>21</v>
      </c>
      <c r="AE112" s="37">
        <f>G112*0.16403649560533</f>
        <v>0</v>
      </c>
      <c r="AF112" s="37">
        <f>G112*(1-0.16403649560533)</f>
        <v>0</v>
      </c>
      <c r="AG112" s="33" t="s">
        <v>7</v>
      </c>
      <c r="AM112" s="37">
        <f>F112*AE112</f>
        <v>0</v>
      </c>
      <c r="AN112" s="37">
        <f>F112*AF112</f>
        <v>0</v>
      </c>
      <c r="AO112" s="38" t="s">
        <v>389</v>
      </c>
      <c r="AP112" s="38" t="s">
        <v>405</v>
      </c>
      <c r="AQ112" s="29" t="s">
        <v>424</v>
      </c>
      <c r="AS112" s="37">
        <f>AM112+AN112</f>
        <v>0</v>
      </c>
      <c r="AT112" s="37">
        <f>G112/(100-AU112)*100</f>
        <v>0</v>
      </c>
      <c r="AU112" s="37">
        <v>0</v>
      </c>
      <c r="AV112" s="37">
        <f>L112</f>
        <v>0</v>
      </c>
    </row>
    <row r="113" spans="4:6" ht="12.75">
      <c r="D113" s="17" t="s">
        <v>277</v>
      </c>
      <c r="F113" s="88">
        <v>82.8</v>
      </c>
    </row>
    <row r="114" spans="1:48" ht="12.75">
      <c r="A114" s="5" t="s">
        <v>48</v>
      </c>
      <c r="B114" s="5" t="s">
        <v>8</v>
      </c>
      <c r="C114" s="5" t="s">
        <v>161</v>
      </c>
      <c r="D114" s="5" t="s">
        <v>221</v>
      </c>
      <c r="E114" s="5" t="s">
        <v>350</v>
      </c>
      <c r="F114" s="86">
        <v>15.6</v>
      </c>
      <c r="G114" s="21">
        <v>0</v>
      </c>
      <c r="H114" s="21">
        <f>F114*AE114</f>
        <v>0</v>
      </c>
      <c r="I114" s="21">
        <f>J114-H114</f>
        <v>0</v>
      </c>
      <c r="J114" s="21">
        <f>F114*G114</f>
        <v>0</v>
      </c>
      <c r="K114" s="21">
        <v>0.01493</v>
      </c>
      <c r="L114" s="21">
        <f>F114*K114</f>
        <v>0.232908</v>
      </c>
      <c r="M114" s="33" t="s">
        <v>376</v>
      </c>
      <c r="P114" s="37">
        <f>IF(AG114="5",J114,0)</f>
        <v>0</v>
      </c>
      <c r="R114" s="37">
        <f>IF(AG114="1",H114,0)</f>
        <v>0</v>
      </c>
      <c r="S114" s="37">
        <f>IF(AG114="1",I114,0)</f>
        <v>0</v>
      </c>
      <c r="T114" s="37">
        <f>IF(AG114="7",H114,0)</f>
        <v>0</v>
      </c>
      <c r="U114" s="37">
        <f>IF(AG114="7",I114,0)</f>
        <v>0</v>
      </c>
      <c r="V114" s="37">
        <f>IF(AG114="2",H114,0)</f>
        <v>0</v>
      </c>
      <c r="W114" s="37">
        <f>IF(AG114="2",I114,0)</f>
        <v>0</v>
      </c>
      <c r="X114" s="37">
        <f>IF(AG114="0",J114,0)</f>
        <v>0</v>
      </c>
      <c r="Y114" s="29" t="s">
        <v>8</v>
      </c>
      <c r="Z114" s="21">
        <f>IF(AD114=0,J114,0)</f>
        <v>0</v>
      </c>
      <c r="AA114" s="21">
        <f>IF(AD114=15,J114,0)</f>
        <v>0</v>
      </c>
      <c r="AB114" s="21">
        <f>IF(AD114=21,J114,0)</f>
        <v>0</v>
      </c>
      <c r="AD114" s="37">
        <v>21</v>
      </c>
      <c r="AE114" s="37">
        <f>G114*0.664316696147043</f>
        <v>0</v>
      </c>
      <c r="AF114" s="37">
        <f>G114*(1-0.664316696147043)</f>
        <v>0</v>
      </c>
      <c r="AG114" s="33" t="s">
        <v>7</v>
      </c>
      <c r="AM114" s="37">
        <f>F114*AE114</f>
        <v>0</v>
      </c>
      <c r="AN114" s="37">
        <f>F114*AF114</f>
        <v>0</v>
      </c>
      <c r="AO114" s="38" t="s">
        <v>389</v>
      </c>
      <c r="AP114" s="38" t="s">
        <v>405</v>
      </c>
      <c r="AQ114" s="29" t="s">
        <v>424</v>
      </c>
      <c r="AS114" s="37">
        <f>AM114+AN114</f>
        <v>0</v>
      </c>
      <c r="AT114" s="37">
        <f>G114/(100-AU114)*100</f>
        <v>0</v>
      </c>
      <c r="AU114" s="37">
        <v>0</v>
      </c>
      <c r="AV114" s="37">
        <f>L114</f>
        <v>0.232908</v>
      </c>
    </row>
    <row r="115" spans="4:6" ht="12.75">
      <c r="D115" s="17" t="s">
        <v>278</v>
      </c>
      <c r="F115" s="88">
        <v>15.6</v>
      </c>
    </row>
    <row r="116" spans="1:37" ht="12.75">
      <c r="A116" s="4"/>
      <c r="B116" s="14" t="s">
        <v>8</v>
      </c>
      <c r="C116" s="14" t="s">
        <v>162</v>
      </c>
      <c r="D116" s="14" t="s">
        <v>223</v>
      </c>
      <c r="E116" s="4" t="s">
        <v>6</v>
      </c>
      <c r="F116" s="4" t="s">
        <v>6</v>
      </c>
      <c r="G116" s="4" t="s">
        <v>6</v>
      </c>
      <c r="H116" s="40">
        <f>SUM(H117:H119)</f>
        <v>0</v>
      </c>
      <c r="I116" s="40">
        <f>SUM(I117:I119)</f>
        <v>0</v>
      </c>
      <c r="J116" s="40">
        <f>H116+I116</f>
        <v>0</v>
      </c>
      <c r="K116" s="29"/>
      <c r="L116" s="40">
        <f>SUM(L117:L119)</f>
        <v>0.12895199999999998</v>
      </c>
      <c r="M116" s="29"/>
      <c r="Y116" s="29" t="s">
        <v>8</v>
      </c>
      <c r="AI116" s="40">
        <f>SUM(Z117:Z119)</f>
        <v>0</v>
      </c>
      <c r="AJ116" s="40">
        <f>SUM(AA117:AA119)</f>
        <v>0</v>
      </c>
      <c r="AK116" s="40">
        <f>SUM(AB117:AB119)</f>
        <v>0</v>
      </c>
    </row>
    <row r="117" spans="1:48" ht="12.75">
      <c r="A117" s="5" t="s">
        <v>49</v>
      </c>
      <c r="B117" s="5" t="s">
        <v>8</v>
      </c>
      <c r="C117" s="5" t="s">
        <v>163</v>
      </c>
      <c r="D117" s="5" t="s">
        <v>224</v>
      </c>
      <c r="E117" s="5" t="s">
        <v>350</v>
      </c>
      <c r="F117" s="86">
        <v>21.6</v>
      </c>
      <c r="G117" s="21">
        <v>0</v>
      </c>
      <c r="H117" s="21">
        <f>F117*AE117</f>
        <v>0</v>
      </c>
      <c r="I117" s="21">
        <f>J117-H117</f>
        <v>0</v>
      </c>
      <c r="J117" s="21">
        <f>F117*G117</f>
        <v>0</v>
      </c>
      <c r="K117" s="21">
        <v>0.00181</v>
      </c>
      <c r="L117" s="21">
        <f>F117*K117</f>
        <v>0.039096</v>
      </c>
      <c r="M117" s="33" t="s">
        <v>376</v>
      </c>
      <c r="P117" s="37">
        <f>IF(AG117="5",J117,0)</f>
        <v>0</v>
      </c>
      <c r="R117" s="37">
        <f>IF(AG117="1",H117,0)</f>
        <v>0</v>
      </c>
      <c r="S117" s="37">
        <f>IF(AG117="1",I117,0)</f>
        <v>0</v>
      </c>
      <c r="T117" s="37">
        <f>IF(AG117="7",H117,0)</f>
        <v>0</v>
      </c>
      <c r="U117" s="37">
        <f>IF(AG117="7",I117,0)</f>
        <v>0</v>
      </c>
      <c r="V117" s="37">
        <f>IF(AG117="2",H117,0)</f>
        <v>0</v>
      </c>
      <c r="W117" s="37">
        <f>IF(AG117="2",I117,0)</f>
        <v>0</v>
      </c>
      <c r="X117" s="37">
        <f>IF(AG117="0",J117,0)</f>
        <v>0</v>
      </c>
      <c r="Y117" s="29" t="s">
        <v>8</v>
      </c>
      <c r="Z117" s="21">
        <f>IF(AD117=0,J117,0)</f>
        <v>0</v>
      </c>
      <c r="AA117" s="21">
        <f>IF(AD117=15,J117,0)</f>
        <v>0</v>
      </c>
      <c r="AB117" s="21">
        <f>IF(AD117=21,J117,0)</f>
        <v>0</v>
      </c>
      <c r="AD117" s="37">
        <v>21</v>
      </c>
      <c r="AE117" s="37">
        <f>G117*0</f>
        <v>0</v>
      </c>
      <c r="AF117" s="37">
        <f>G117*(1-0)</f>
        <v>0</v>
      </c>
      <c r="AG117" s="33" t="s">
        <v>13</v>
      </c>
      <c r="AM117" s="37">
        <f>F117*AE117</f>
        <v>0</v>
      </c>
      <c r="AN117" s="37">
        <f>F117*AF117</f>
        <v>0</v>
      </c>
      <c r="AO117" s="38" t="s">
        <v>390</v>
      </c>
      <c r="AP117" s="38" t="s">
        <v>406</v>
      </c>
      <c r="AQ117" s="29" t="s">
        <v>424</v>
      </c>
      <c r="AS117" s="37">
        <f>AM117+AN117</f>
        <v>0</v>
      </c>
      <c r="AT117" s="37">
        <f>G117/(100-AU117)*100</f>
        <v>0</v>
      </c>
      <c r="AU117" s="37">
        <v>0</v>
      </c>
      <c r="AV117" s="37">
        <f>L117</f>
        <v>0.039096</v>
      </c>
    </row>
    <row r="118" spans="4:6" ht="12.75">
      <c r="D118" s="17" t="s">
        <v>279</v>
      </c>
      <c r="F118" s="88">
        <v>21.6</v>
      </c>
    </row>
    <row r="119" spans="1:48" ht="12.75">
      <c r="A119" s="5" t="s">
        <v>50</v>
      </c>
      <c r="B119" s="5" t="s">
        <v>8</v>
      </c>
      <c r="C119" s="5" t="s">
        <v>164</v>
      </c>
      <c r="D119" s="5" t="s">
        <v>226</v>
      </c>
      <c r="E119" s="5" t="s">
        <v>350</v>
      </c>
      <c r="F119" s="86">
        <v>21.6</v>
      </c>
      <c r="G119" s="21">
        <v>0</v>
      </c>
      <c r="H119" s="21">
        <f>F119*AE119</f>
        <v>0</v>
      </c>
      <c r="I119" s="21">
        <f>J119-H119</f>
        <v>0</v>
      </c>
      <c r="J119" s="21">
        <f>F119*G119</f>
        <v>0</v>
      </c>
      <c r="K119" s="21">
        <v>0.00416</v>
      </c>
      <c r="L119" s="21">
        <f>F119*K119</f>
        <v>0.08985599999999999</v>
      </c>
      <c r="M119" s="33" t="s">
        <v>376</v>
      </c>
      <c r="P119" s="37">
        <f>IF(AG119="5",J119,0)</f>
        <v>0</v>
      </c>
      <c r="R119" s="37">
        <f>IF(AG119="1",H119,0)</f>
        <v>0</v>
      </c>
      <c r="S119" s="37">
        <f>IF(AG119="1",I119,0)</f>
        <v>0</v>
      </c>
      <c r="T119" s="37">
        <f>IF(AG119="7",H119,0)</f>
        <v>0</v>
      </c>
      <c r="U119" s="37">
        <f>IF(AG119="7",I119,0)</f>
        <v>0</v>
      </c>
      <c r="V119" s="37">
        <f>IF(AG119="2",H119,0)</f>
        <v>0</v>
      </c>
      <c r="W119" s="37">
        <f>IF(AG119="2",I119,0)</f>
        <v>0</v>
      </c>
      <c r="X119" s="37">
        <f>IF(AG119="0",J119,0)</f>
        <v>0</v>
      </c>
      <c r="Y119" s="29" t="s">
        <v>8</v>
      </c>
      <c r="Z119" s="21">
        <f>IF(AD119=0,J119,0)</f>
        <v>0</v>
      </c>
      <c r="AA119" s="21">
        <f>IF(AD119=15,J119,0)</f>
        <v>0</v>
      </c>
      <c r="AB119" s="21">
        <f>IF(AD119=21,J119,0)</f>
        <v>0</v>
      </c>
      <c r="AD119" s="37">
        <v>21</v>
      </c>
      <c r="AE119" s="37">
        <f>G119*0.59133982553529</f>
        <v>0</v>
      </c>
      <c r="AF119" s="37">
        <f>G119*(1-0.59133982553529)</f>
        <v>0</v>
      </c>
      <c r="AG119" s="33" t="s">
        <v>13</v>
      </c>
      <c r="AM119" s="37">
        <f>F119*AE119</f>
        <v>0</v>
      </c>
      <c r="AN119" s="37">
        <f>F119*AF119</f>
        <v>0</v>
      </c>
      <c r="AO119" s="38" t="s">
        <v>390</v>
      </c>
      <c r="AP119" s="38" t="s">
        <v>406</v>
      </c>
      <c r="AQ119" s="29" t="s">
        <v>424</v>
      </c>
      <c r="AS119" s="37">
        <f>AM119+AN119</f>
        <v>0</v>
      </c>
      <c r="AT119" s="37">
        <f>G119/(100-AU119)*100</f>
        <v>0</v>
      </c>
      <c r="AU119" s="37">
        <v>0</v>
      </c>
      <c r="AV119" s="37">
        <f>L119</f>
        <v>0.08985599999999999</v>
      </c>
    </row>
    <row r="120" spans="4:6" ht="12.75">
      <c r="D120" s="17" t="s">
        <v>279</v>
      </c>
      <c r="F120" s="88">
        <v>21.6</v>
      </c>
    </row>
    <row r="121" spans="1:37" ht="12.75">
      <c r="A121" s="4"/>
      <c r="B121" s="14" t="s">
        <v>8</v>
      </c>
      <c r="C121" s="14" t="s">
        <v>165</v>
      </c>
      <c r="D121" s="14" t="s">
        <v>227</v>
      </c>
      <c r="E121" s="4" t="s">
        <v>6</v>
      </c>
      <c r="F121" s="4" t="s">
        <v>6</v>
      </c>
      <c r="G121" s="4" t="s">
        <v>6</v>
      </c>
      <c r="H121" s="40">
        <f>SUM(H122:H122)</f>
        <v>0</v>
      </c>
      <c r="I121" s="40">
        <f>SUM(I122:I122)</f>
        <v>0</v>
      </c>
      <c r="J121" s="40">
        <f>H121+I121</f>
        <v>0</v>
      </c>
      <c r="K121" s="29"/>
      <c r="L121" s="40">
        <f>SUM(L122:L122)</f>
        <v>0.96</v>
      </c>
      <c r="M121" s="29"/>
      <c r="Y121" s="29" t="s">
        <v>8</v>
      </c>
      <c r="AI121" s="40">
        <f>SUM(Z122:Z122)</f>
        <v>0</v>
      </c>
      <c r="AJ121" s="40">
        <f>SUM(AA122:AA122)</f>
        <v>0</v>
      </c>
      <c r="AK121" s="40">
        <f>SUM(AB122:AB122)</f>
        <v>0</v>
      </c>
    </row>
    <row r="122" spans="1:48" ht="12.75">
      <c r="A122" s="5" t="s">
        <v>51</v>
      </c>
      <c r="B122" s="5" t="s">
        <v>8</v>
      </c>
      <c r="C122" s="5" t="s">
        <v>167</v>
      </c>
      <c r="D122" s="5" t="s">
        <v>230</v>
      </c>
      <c r="E122" s="5" t="s">
        <v>355</v>
      </c>
      <c r="F122" s="86">
        <v>12</v>
      </c>
      <c r="G122" s="21">
        <v>0</v>
      </c>
      <c r="H122" s="21">
        <f>F122*AE122</f>
        <v>0</v>
      </c>
      <c r="I122" s="21">
        <f>J122-H122</f>
        <v>0</v>
      </c>
      <c r="J122" s="21">
        <f>F122*G122</f>
        <v>0</v>
      </c>
      <c r="K122" s="21">
        <v>0.08</v>
      </c>
      <c r="L122" s="21">
        <f>F122*K122</f>
        <v>0.96</v>
      </c>
      <c r="M122" s="33"/>
      <c r="P122" s="37">
        <f>IF(AG122="5",J122,0)</f>
        <v>0</v>
      </c>
      <c r="R122" s="37">
        <f>IF(AG122="1",H122,0)</f>
        <v>0</v>
      </c>
      <c r="S122" s="37">
        <f>IF(AG122="1",I122,0)</f>
        <v>0</v>
      </c>
      <c r="T122" s="37">
        <f>IF(AG122="7",H122,0)</f>
        <v>0</v>
      </c>
      <c r="U122" s="37">
        <f>IF(AG122="7",I122,0)</f>
        <v>0</v>
      </c>
      <c r="V122" s="37">
        <f>IF(AG122="2",H122,0)</f>
        <v>0</v>
      </c>
      <c r="W122" s="37">
        <f>IF(AG122="2",I122,0)</f>
        <v>0</v>
      </c>
      <c r="X122" s="37">
        <f>IF(AG122="0",J122,0)</f>
        <v>0</v>
      </c>
      <c r="Y122" s="29" t="s">
        <v>8</v>
      </c>
      <c r="Z122" s="21">
        <f>IF(AD122=0,J122,0)</f>
        <v>0</v>
      </c>
      <c r="AA122" s="21">
        <f>IF(AD122=15,J122,0)</f>
        <v>0</v>
      </c>
      <c r="AB122" s="21">
        <f>IF(AD122=21,J122,0)</f>
        <v>0</v>
      </c>
      <c r="AD122" s="37">
        <v>21</v>
      </c>
      <c r="AE122" s="37">
        <f>G122*0</f>
        <v>0</v>
      </c>
      <c r="AF122" s="37">
        <f>G122*(1-0)</f>
        <v>0</v>
      </c>
      <c r="AG122" s="33" t="s">
        <v>13</v>
      </c>
      <c r="AM122" s="37">
        <f>F122*AE122</f>
        <v>0</v>
      </c>
      <c r="AN122" s="37">
        <f>F122*AF122</f>
        <v>0</v>
      </c>
      <c r="AO122" s="38" t="s">
        <v>391</v>
      </c>
      <c r="AP122" s="38" t="s">
        <v>406</v>
      </c>
      <c r="AQ122" s="29" t="s">
        <v>424</v>
      </c>
      <c r="AS122" s="37">
        <f>AM122+AN122</f>
        <v>0</v>
      </c>
      <c r="AT122" s="37">
        <f>G122/(100-AU122)*100</f>
        <v>0</v>
      </c>
      <c r="AU122" s="37">
        <v>0</v>
      </c>
      <c r="AV122" s="37">
        <f>L122</f>
        <v>0.96</v>
      </c>
    </row>
    <row r="123" spans="4:6" ht="12.75">
      <c r="D123" s="17" t="s">
        <v>18</v>
      </c>
      <c r="F123" s="88">
        <v>12</v>
      </c>
    </row>
    <row r="124" spans="1:37" ht="12.75">
      <c r="A124" s="4"/>
      <c r="B124" s="14" t="s">
        <v>8</v>
      </c>
      <c r="C124" s="14" t="s">
        <v>176</v>
      </c>
      <c r="D124" s="14" t="s">
        <v>241</v>
      </c>
      <c r="E124" s="4" t="s">
        <v>6</v>
      </c>
      <c r="F124" s="4" t="s">
        <v>6</v>
      </c>
      <c r="G124" s="4" t="s">
        <v>6</v>
      </c>
      <c r="H124" s="40">
        <f>SUM(H125:H127)</f>
        <v>0</v>
      </c>
      <c r="I124" s="40">
        <f>SUM(I125:I127)</f>
        <v>0</v>
      </c>
      <c r="J124" s="40">
        <f>H124+I124</f>
        <v>0</v>
      </c>
      <c r="K124" s="29"/>
      <c r="L124" s="40">
        <f>SUM(L125:L127)</f>
        <v>0.026964</v>
      </c>
      <c r="M124" s="29"/>
      <c r="Y124" s="29" t="s">
        <v>8</v>
      </c>
      <c r="AI124" s="40">
        <f>SUM(Z125:Z127)</f>
        <v>0</v>
      </c>
      <c r="AJ124" s="40">
        <f>SUM(AA125:AA127)</f>
        <v>0</v>
      </c>
      <c r="AK124" s="40">
        <f>SUM(AB125:AB127)</f>
        <v>0</v>
      </c>
    </row>
    <row r="125" spans="1:48" ht="12.75">
      <c r="A125" s="5" t="s">
        <v>52</v>
      </c>
      <c r="B125" s="5" t="s">
        <v>8</v>
      </c>
      <c r="C125" s="5" t="s">
        <v>177</v>
      </c>
      <c r="D125" s="5" t="s">
        <v>242</v>
      </c>
      <c r="E125" s="5" t="s">
        <v>351</v>
      </c>
      <c r="F125" s="86">
        <v>35.88</v>
      </c>
      <c r="G125" s="21">
        <v>0</v>
      </c>
      <c r="H125" s="21">
        <f>F125*AE125</f>
        <v>0</v>
      </c>
      <c r="I125" s="21">
        <f>J125-H125</f>
        <v>0</v>
      </c>
      <c r="J125" s="21">
        <f>F125*G125</f>
        <v>0</v>
      </c>
      <c r="K125" s="21">
        <v>0.0003</v>
      </c>
      <c r="L125" s="21">
        <f>F125*K125</f>
        <v>0.010764</v>
      </c>
      <c r="M125" s="33" t="s">
        <v>376</v>
      </c>
      <c r="P125" s="37">
        <f>IF(AG125="5",J125,0)</f>
        <v>0</v>
      </c>
      <c r="R125" s="37">
        <f>IF(AG125="1",H125,0)</f>
        <v>0</v>
      </c>
      <c r="S125" s="37">
        <f>IF(AG125="1",I125,0)</f>
        <v>0</v>
      </c>
      <c r="T125" s="37">
        <f>IF(AG125="7",H125,0)</f>
        <v>0</v>
      </c>
      <c r="U125" s="37">
        <f>IF(AG125="7",I125,0)</f>
        <v>0</v>
      </c>
      <c r="V125" s="37">
        <f>IF(AG125="2",H125,0)</f>
        <v>0</v>
      </c>
      <c r="W125" s="37">
        <f>IF(AG125="2",I125,0)</f>
        <v>0</v>
      </c>
      <c r="X125" s="37">
        <f>IF(AG125="0",J125,0)</f>
        <v>0</v>
      </c>
      <c r="Y125" s="29" t="s">
        <v>8</v>
      </c>
      <c r="Z125" s="21">
        <f>IF(AD125=0,J125,0)</f>
        <v>0</v>
      </c>
      <c r="AA125" s="21">
        <f>IF(AD125=15,J125,0)</f>
        <v>0</v>
      </c>
      <c r="AB125" s="21">
        <f>IF(AD125=21,J125,0)</f>
        <v>0</v>
      </c>
      <c r="AD125" s="37">
        <v>21</v>
      </c>
      <c r="AE125" s="37">
        <f>G125*0.60709793398533</f>
        <v>0</v>
      </c>
      <c r="AF125" s="37">
        <f>G125*(1-0.60709793398533)</f>
        <v>0</v>
      </c>
      <c r="AG125" s="33" t="s">
        <v>13</v>
      </c>
      <c r="AM125" s="37">
        <f>F125*AE125</f>
        <v>0</v>
      </c>
      <c r="AN125" s="37">
        <f>F125*AF125</f>
        <v>0</v>
      </c>
      <c r="AO125" s="38" t="s">
        <v>394</v>
      </c>
      <c r="AP125" s="38" t="s">
        <v>407</v>
      </c>
      <c r="AQ125" s="29" t="s">
        <v>424</v>
      </c>
      <c r="AS125" s="37">
        <f>AM125+AN125</f>
        <v>0</v>
      </c>
      <c r="AT125" s="37">
        <f>G125/(100-AU125)*100</f>
        <v>0</v>
      </c>
      <c r="AU125" s="37">
        <v>0</v>
      </c>
      <c r="AV125" s="37">
        <f>L125</f>
        <v>0.010764</v>
      </c>
    </row>
    <row r="126" spans="4:6" ht="12.75">
      <c r="D126" s="17" t="s">
        <v>280</v>
      </c>
      <c r="F126" s="88">
        <v>35.88</v>
      </c>
    </row>
    <row r="127" spans="1:48" ht="12.75">
      <c r="A127" s="6" t="s">
        <v>53</v>
      </c>
      <c r="B127" s="6" t="s">
        <v>8</v>
      </c>
      <c r="C127" s="6" t="s">
        <v>178</v>
      </c>
      <c r="D127" s="6" t="s">
        <v>244</v>
      </c>
      <c r="E127" s="6" t="s">
        <v>353</v>
      </c>
      <c r="F127" s="87">
        <v>12</v>
      </c>
      <c r="G127" s="22">
        <v>0</v>
      </c>
      <c r="H127" s="22">
        <f>F127*AE127</f>
        <v>0</v>
      </c>
      <c r="I127" s="22">
        <f>J127-H127</f>
        <v>0</v>
      </c>
      <c r="J127" s="22">
        <f>F127*G127</f>
        <v>0</v>
      </c>
      <c r="K127" s="22">
        <v>0.00135</v>
      </c>
      <c r="L127" s="22">
        <f>F127*K127</f>
        <v>0.0162</v>
      </c>
      <c r="M127" s="34" t="s">
        <v>376</v>
      </c>
      <c r="P127" s="37">
        <f>IF(AG127="5",J127,0)</f>
        <v>0</v>
      </c>
      <c r="R127" s="37">
        <f>IF(AG127="1",H127,0)</f>
        <v>0</v>
      </c>
      <c r="S127" s="37">
        <f>IF(AG127="1",I127,0)</f>
        <v>0</v>
      </c>
      <c r="T127" s="37">
        <f>IF(AG127="7",H127,0)</f>
        <v>0</v>
      </c>
      <c r="U127" s="37">
        <f>IF(AG127="7",I127,0)</f>
        <v>0</v>
      </c>
      <c r="V127" s="37">
        <f>IF(AG127="2",H127,0)</f>
        <v>0</v>
      </c>
      <c r="W127" s="37">
        <f>IF(AG127="2",I127,0)</f>
        <v>0</v>
      </c>
      <c r="X127" s="37">
        <f>IF(AG127="0",J127,0)</f>
        <v>0</v>
      </c>
      <c r="Y127" s="29" t="s">
        <v>8</v>
      </c>
      <c r="Z127" s="22">
        <f>IF(AD127=0,J127,0)</f>
        <v>0</v>
      </c>
      <c r="AA127" s="22">
        <f>IF(AD127=15,J127,0)</f>
        <v>0</v>
      </c>
      <c r="AB127" s="22">
        <f>IF(AD127=21,J127,0)</f>
        <v>0</v>
      </c>
      <c r="AD127" s="37">
        <v>21</v>
      </c>
      <c r="AE127" s="37">
        <f>G127*1</f>
        <v>0</v>
      </c>
      <c r="AF127" s="37">
        <f>G127*(1-1)</f>
        <v>0</v>
      </c>
      <c r="AG127" s="34" t="s">
        <v>13</v>
      </c>
      <c r="AM127" s="37">
        <f>F127*AE127</f>
        <v>0</v>
      </c>
      <c r="AN127" s="37">
        <f>F127*AF127</f>
        <v>0</v>
      </c>
      <c r="AO127" s="38" t="s">
        <v>394</v>
      </c>
      <c r="AP127" s="38" t="s">
        <v>407</v>
      </c>
      <c r="AQ127" s="29" t="s">
        <v>424</v>
      </c>
      <c r="AS127" s="37">
        <f>AM127+AN127</f>
        <v>0</v>
      </c>
      <c r="AT127" s="37">
        <f>G127/(100-AU127)*100</f>
        <v>0</v>
      </c>
      <c r="AU127" s="37">
        <v>0</v>
      </c>
      <c r="AV127" s="37">
        <f>L127</f>
        <v>0.0162</v>
      </c>
    </row>
    <row r="128" spans="4:6" ht="12.75">
      <c r="D128" s="17" t="s">
        <v>18</v>
      </c>
      <c r="F128" s="88">
        <v>12</v>
      </c>
    </row>
    <row r="129" spans="1:37" ht="12.75">
      <c r="A129" s="4"/>
      <c r="B129" s="14" t="s">
        <v>8</v>
      </c>
      <c r="C129" s="14" t="s">
        <v>102</v>
      </c>
      <c r="D129" s="14" t="s">
        <v>245</v>
      </c>
      <c r="E129" s="4" t="s">
        <v>6</v>
      </c>
      <c r="F129" s="4" t="s">
        <v>6</v>
      </c>
      <c r="G129" s="4" t="s">
        <v>6</v>
      </c>
      <c r="H129" s="40">
        <f>SUM(H130:H136)</f>
        <v>0</v>
      </c>
      <c r="I129" s="40">
        <f>SUM(I130:I136)</f>
        <v>0</v>
      </c>
      <c r="J129" s="40">
        <f>H129+I129</f>
        <v>0</v>
      </c>
      <c r="K129" s="29"/>
      <c r="L129" s="40">
        <f>SUM(L130:L136)</f>
        <v>3.0802528799999997</v>
      </c>
      <c r="M129" s="29"/>
      <c r="Y129" s="29" t="s">
        <v>8</v>
      </c>
      <c r="AI129" s="40">
        <f>SUM(Z130:Z136)</f>
        <v>0</v>
      </c>
      <c r="AJ129" s="40">
        <f>SUM(AA130:AA136)</f>
        <v>0</v>
      </c>
      <c r="AK129" s="40">
        <f>SUM(AB130:AB136)</f>
        <v>0</v>
      </c>
    </row>
    <row r="130" spans="1:48" ht="12.75">
      <c r="A130" s="5" t="s">
        <v>54</v>
      </c>
      <c r="B130" s="5" t="s">
        <v>8</v>
      </c>
      <c r="C130" s="5" t="s">
        <v>179</v>
      </c>
      <c r="D130" s="5" t="s">
        <v>246</v>
      </c>
      <c r="E130" s="5" t="s">
        <v>353</v>
      </c>
      <c r="F130" s="86">
        <v>72</v>
      </c>
      <c r="G130" s="21">
        <v>0</v>
      </c>
      <c r="H130" s="21">
        <f>F130*AE130</f>
        <v>0</v>
      </c>
      <c r="I130" s="21">
        <f>J130-H130</f>
        <v>0</v>
      </c>
      <c r="J130" s="21">
        <f>F130*G130</f>
        <v>0</v>
      </c>
      <c r="K130" s="21">
        <v>0</v>
      </c>
      <c r="L130" s="21">
        <f>F130*K130</f>
        <v>0</v>
      </c>
      <c r="M130" s="33" t="s">
        <v>376</v>
      </c>
      <c r="P130" s="37">
        <f>IF(AG130="5",J130,0)</f>
        <v>0</v>
      </c>
      <c r="R130" s="37">
        <f>IF(AG130="1",H130,0)</f>
        <v>0</v>
      </c>
      <c r="S130" s="37">
        <f>IF(AG130="1",I130,0)</f>
        <v>0</v>
      </c>
      <c r="T130" s="37">
        <f>IF(AG130="7",H130,0)</f>
        <v>0</v>
      </c>
      <c r="U130" s="37">
        <f>IF(AG130="7",I130,0)</f>
        <v>0</v>
      </c>
      <c r="V130" s="37">
        <f>IF(AG130="2",H130,0)</f>
        <v>0</v>
      </c>
      <c r="W130" s="37">
        <f>IF(AG130="2",I130,0)</f>
        <v>0</v>
      </c>
      <c r="X130" s="37">
        <f>IF(AG130="0",J130,0)</f>
        <v>0</v>
      </c>
      <c r="Y130" s="29" t="s">
        <v>8</v>
      </c>
      <c r="Z130" s="21">
        <f>IF(AD130=0,J130,0)</f>
        <v>0</v>
      </c>
      <c r="AA130" s="21">
        <f>IF(AD130=15,J130,0)</f>
        <v>0</v>
      </c>
      <c r="AB130" s="21">
        <f>IF(AD130=21,J130,0)</f>
        <v>0</v>
      </c>
      <c r="AD130" s="37">
        <v>21</v>
      </c>
      <c r="AE130" s="37">
        <f>G130*0</f>
        <v>0</v>
      </c>
      <c r="AF130" s="37">
        <f>G130*(1-0)</f>
        <v>0</v>
      </c>
      <c r="AG130" s="33" t="s">
        <v>7</v>
      </c>
      <c r="AM130" s="37">
        <f>F130*AE130</f>
        <v>0</v>
      </c>
      <c r="AN130" s="37">
        <f>F130*AF130</f>
        <v>0</v>
      </c>
      <c r="AO130" s="38" t="s">
        <v>395</v>
      </c>
      <c r="AP130" s="38" t="s">
        <v>408</v>
      </c>
      <c r="AQ130" s="29" t="s">
        <v>424</v>
      </c>
      <c r="AS130" s="37">
        <f>AM130+AN130</f>
        <v>0</v>
      </c>
      <c r="AT130" s="37">
        <f>G130/(100-AU130)*100</f>
        <v>0</v>
      </c>
      <c r="AU130" s="37">
        <v>0</v>
      </c>
      <c r="AV130" s="37">
        <f>L130</f>
        <v>0</v>
      </c>
    </row>
    <row r="131" spans="4:6" ht="12.75">
      <c r="D131" s="17" t="s">
        <v>281</v>
      </c>
      <c r="F131" s="88">
        <v>72</v>
      </c>
    </row>
    <row r="132" spans="1:48" ht="12.75">
      <c r="A132" s="5" t="s">
        <v>55</v>
      </c>
      <c r="B132" s="5" t="s">
        <v>8</v>
      </c>
      <c r="C132" s="5" t="s">
        <v>180</v>
      </c>
      <c r="D132" s="5" t="s">
        <v>248</v>
      </c>
      <c r="E132" s="5" t="s">
        <v>351</v>
      </c>
      <c r="F132" s="86">
        <v>31.464</v>
      </c>
      <c r="G132" s="21">
        <v>0</v>
      </c>
      <c r="H132" s="21">
        <f>F132*AE132</f>
        <v>0</v>
      </c>
      <c r="I132" s="21">
        <f>J132-H132</f>
        <v>0</v>
      </c>
      <c r="J132" s="21">
        <f>F132*G132</f>
        <v>0</v>
      </c>
      <c r="K132" s="21">
        <v>0.05492</v>
      </c>
      <c r="L132" s="21">
        <f>F132*K132</f>
        <v>1.7280028799999998</v>
      </c>
      <c r="M132" s="33" t="s">
        <v>376</v>
      </c>
      <c r="P132" s="37">
        <f>IF(AG132="5",J132,0)</f>
        <v>0</v>
      </c>
      <c r="R132" s="37">
        <f>IF(AG132="1",H132,0)</f>
        <v>0</v>
      </c>
      <c r="S132" s="37">
        <f>IF(AG132="1",I132,0)</f>
        <v>0</v>
      </c>
      <c r="T132" s="37">
        <f>IF(AG132="7",H132,0)</f>
        <v>0</v>
      </c>
      <c r="U132" s="37">
        <f>IF(AG132="7",I132,0)</f>
        <v>0</v>
      </c>
      <c r="V132" s="37">
        <f>IF(AG132="2",H132,0)</f>
        <v>0</v>
      </c>
      <c r="W132" s="37">
        <f>IF(AG132="2",I132,0)</f>
        <v>0</v>
      </c>
      <c r="X132" s="37">
        <f>IF(AG132="0",J132,0)</f>
        <v>0</v>
      </c>
      <c r="Y132" s="29" t="s">
        <v>8</v>
      </c>
      <c r="Z132" s="21">
        <f>IF(AD132=0,J132,0)</f>
        <v>0</v>
      </c>
      <c r="AA132" s="21">
        <f>IF(AD132=15,J132,0)</f>
        <v>0</v>
      </c>
      <c r="AB132" s="21">
        <f>IF(AD132=21,J132,0)</f>
        <v>0</v>
      </c>
      <c r="AD132" s="37">
        <v>21</v>
      </c>
      <c r="AE132" s="37">
        <f>G132*0.136018453440137</f>
        <v>0</v>
      </c>
      <c r="AF132" s="37">
        <f>G132*(1-0.136018453440137)</f>
        <v>0</v>
      </c>
      <c r="AG132" s="33" t="s">
        <v>7</v>
      </c>
      <c r="AM132" s="37">
        <f>F132*AE132</f>
        <v>0</v>
      </c>
      <c r="AN132" s="37">
        <f>F132*AF132</f>
        <v>0</v>
      </c>
      <c r="AO132" s="38" t="s">
        <v>395</v>
      </c>
      <c r="AP132" s="38" t="s">
        <v>408</v>
      </c>
      <c r="AQ132" s="29" t="s">
        <v>424</v>
      </c>
      <c r="AS132" s="37">
        <f>AM132+AN132</f>
        <v>0</v>
      </c>
      <c r="AT132" s="37">
        <f>G132/(100-AU132)*100</f>
        <v>0</v>
      </c>
      <c r="AU132" s="37">
        <v>0</v>
      </c>
      <c r="AV132" s="37">
        <f>L132</f>
        <v>1.7280028799999998</v>
      </c>
    </row>
    <row r="133" spans="4:6" ht="12.75">
      <c r="D133" s="17" t="s">
        <v>282</v>
      </c>
      <c r="F133" s="88">
        <v>31.464</v>
      </c>
    </row>
    <row r="134" spans="1:48" ht="12.75">
      <c r="A134" s="5" t="s">
        <v>56</v>
      </c>
      <c r="B134" s="5" t="s">
        <v>8</v>
      </c>
      <c r="C134" s="5" t="s">
        <v>183</v>
      </c>
      <c r="D134" s="5" t="s">
        <v>254</v>
      </c>
      <c r="E134" s="5" t="s">
        <v>351</v>
      </c>
      <c r="F134" s="86">
        <v>6</v>
      </c>
      <c r="G134" s="21">
        <v>0</v>
      </c>
      <c r="H134" s="21">
        <f>F134*AE134</f>
        <v>0</v>
      </c>
      <c r="I134" s="21">
        <f>J134-H134</f>
        <v>0</v>
      </c>
      <c r="J134" s="21">
        <f>F134*G134</f>
        <v>0</v>
      </c>
      <c r="K134" s="21">
        <v>0.004</v>
      </c>
      <c r="L134" s="21">
        <f>F134*K134</f>
        <v>0.024</v>
      </c>
      <c r="M134" s="33" t="s">
        <v>376</v>
      </c>
      <c r="P134" s="37">
        <f>IF(AG134="5",J134,0)</f>
        <v>0</v>
      </c>
      <c r="R134" s="37">
        <f>IF(AG134="1",H134,0)</f>
        <v>0</v>
      </c>
      <c r="S134" s="37">
        <f>IF(AG134="1",I134,0)</f>
        <v>0</v>
      </c>
      <c r="T134" s="37">
        <f>IF(AG134="7",H134,0)</f>
        <v>0</v>
      </c>
      <c r="U134" s="37">
        <f>IF(AG134="7",I134,0)</f>
        <v>0</v>
      </c>
      <c r="V134" s="37">
        <f>IF(AG134="2",H134,0)</f>
        <v>0</v>
      </c>
      <c r="W134" s="37">
        <f>IF(AG134="2",I134,0)</f>
        <v>0</v>
      </c>
      <c r="X134" s="37">
        <f>IF(AG134="0",J134,0)</f>
        <v>0</v>
      </c>
      <c r="Y134" s="29" t="s">
        <v>8</v>
      </c>
      <c r="Z134" s="21">
        <f>IF(AD134=0,J134,0)</f>
        <v>0</v>
      </c>
      <c r="AA134" s="21">
        <f>IF(AD134=15,J134,0)</f>
        <v>0</v>
      </c>
      <c r="AB134" s="21">
        <f>IF(AD134=21,J134,0)</f>
        <v>0</v>
      </c>
      <c r="AD134" s="37">
        <v>21</v>
      </c>
      <c r="AE134" s="37">
        <f>G134*0</f>
        <v>0</v>
      </c>
      <c r="AF134" s="37">
        <f>G134*(1-0)</f>
        <v>0</v>
      </c>
      <c r="AG134" s="33" t="s">
        <v>7</v>
      </c>
      <c r="AM134" s="37">
        <f>F134*AE134</f>
        <v>0</v>
      </c>
      <c r="AN134" s="37">
        <f>F134*AF134</f>
        <v>0</v>
      </c>
      <c r="AO134" s="38" t="s">
        <v>395</v>
      </c>
      <c r="AP134" s="38" t="s">
        <v>408</v>
      </c>
      <c r="AQ134" s="29" t="s">
        <v>424</v>
      </c>
      <c r="AS134" s="37">
        <f>AM134+AN134</f>
        <v>0</v>
      </c>
      <c r="AT134" s="37">
        <f>G134/(100-AU134)*100</f>
        <v>0</v>
      </c>
      <c r="AU134" s="37">
        <v>0</v>
      </c>
      <c r="AV134" s="37">
        <f>L134</f>
        <v>0.024</v>
      </c>
    </row>
    <row r="135" spans="4:6" ht="12.75">
      <c r="D135" s="17" t="s">
        <v>283</v>
      </c>
      <c r="F135" s="88">
        <v>6</v>
      </c>
    </row>
    <row r="136" spans="1:48" ht="12.75">
      <c r="A136" s="5" t="s">
        <v>57</v>
      </c>
      <c r="B136" s="5" t="s">
        <v>8</v>
      </c>
      <c r="C136" s="5" t="s">
        <v>184</v>
      </c>
      <c r="D136" s="5" t="s">
        <v>256</v>
      </c>
      <c r="E136" s="5" t="s">
        <v>351</v>
      </c>
      <c r="F136" s="86">
        <v>24.15</v>
      </c>
      <c r="G136" s="21">
        <v>0</v>
      </c>
      <c r="H136" s="21">
        <f>F136*AE136</f>
        <v>0</v>
      </c>
      <c r="I136" s="21">
        <f>J136-H136</f>
        <v>0</v>
      </c>
      <c r="J136" s="21">
        <f>F136*G136</f>
        <v>0</v>
      </c>
      <c r="K136" s="21">
        <v>0.055</v>
      </c>
      <c r="L136" s="21">
        <f>F136*K136</f>
        <v>1.32825</v>
      </c>
      <c r="M136" s="33" t="s">
        <v>376</v>
      </c>
      <c r="P136" s="37">
        <f>IF(AG136="5",J136,0)</f>
        <v>0</v>
      </c>
      <c r="R136" s="37">
        <f>IF(AG136="1",H136,0)</f>
        <v>0</v>
      </c>
      <c r="S136" s="37">
        <f>IF(AG136="1",I136,0)</f>
        <v>0</v>
      </c>
      <c r="T136" s="37">
        <f>IF(AG136="7",H136,0)</f>
        <v>0</v>
      </c>
      <c r="U136" s="37">
        <f>IF(AG136="7",I136,0)</f>
        <v>0</v>
      </c>
      <c r="V136" s="37">
        <f>IF(AG136="2",H136,0)</f>
        <v>0</v>
      </c>
      <c r="W136" s="37">
        <f>IF(AG136="2",I136,0)</f>
        <v>0</v>
      </c>
      <c r="X136" s="37">
        <f>IF(AG136="0",J136,0)</f>
        <v>0</v>
      </c>
      <c r="Y136" s="29" t="s">
        <v>8</v>
      </c>
      <c r="Z136" s="21">
        <f>IF(AD136=0,J136,0)</f>
        <v>0</v>
      </c>
      <c r="AA136" s="21">
        <f>IF(AD136=15,J136,0)</f>
        <v>0</v>
      </c>
      <c r="AB136" s="21">
        <f>IF(AD136=21,J136,0)</f>
        <v>0</v>
      </c>
      <c r="AD136" s="37">
        <v>21</v>
      </c>
      <c r="AE136" s="37">
        <f>G136*0</f>
        <v>0</v>
      </c>
      <c r="AF136" s="37">
        <f>G136*(1-0)</f>
        <v>0</v>
      </c>
      <c r="AG136" s="33" t="s">
        <v>7</v>
      </c>
      <c r="AM136" s="37">
        <f>F136*AE136</f>
        <v>0</v>
      </c>
      <c r="AN136" s="37">
        <f>F136*AF136</f>
        <v>0</v>
      </c>
      <c r="AO136" s="38" t="s">
        <v>395</v>
      </c>
      <c r="AP136" s="38" t="s">
        <v>408</v>
      </c>
      <c r="AQ136" s="29" t="s">
        <v>424</v>
      </c>
      <c r="AS136" s="37">
        <f>AM136+AN136</f>
        <v>0</v>
      </c>
      <c r="AT136" s="37">
        <f>G136/(100-AU136)*100</f>
        <v>0</v>
      </c>
      <c r="AU136" s="37">
        <v>0</v>
      </c>
      <c r="AV136" s="37">
        <f>L136</f>
        <v>1.32825</v>
      </c>
    </row>
    <row r="137" spans="4:6" ht="12.75">
      <c r="D137" s="17" t="s">
        <v>284</v>
      </c>
      <c r="F137" s="88">
        <v>24.15</v>
      </c>
    </row>
    <row r="138" spans="1:37" ht="12.75">
      <c r="A138" s="4"/>
      <c r="B138" s="14" t="s">
        <v>8</v>
      </c>
      <c r="C138" s="14" t="s">
        <v>185</v>
      </c>
      <c r="D138" s="14" t="s">
        <v>258</v>
      </c>
      <c r="E138" s="4" t="s">
        <v>6</v>
      </c>
      <c r="F138" s="4" t="s">
        <v>6</v>
      </c>
      <c r="G138" s="4" t="s">
        <v>6</v>
      </c>
      <c r="H138" s="40">
        <f>SUM(H139:H141)</f>
        <v>0</v>
      </c>
      <c r="I138" s="40">
        <f>SUM(I139:I141)</f>
        <v>0</v>
      </c>
      <c r="J138" s="40">
        <f>H138+I138</f>
        <v>0</v>
      </c>
      <c r="K138" s="29"/>
      <c r="L138" s="40">
        <f>SUM(L139:L141)</f>
        <v>0</v>
      </c>
      <c r="M138" s="29"/>
      <c r="Y138" s="29" t="s">
        <v>8</v>
      </c>
      <c r="AI138" s="40">
        <f>SUM(Z139:Z141)</f>
        <v>0</v>
      </c>
      <c r="AJ138" s="40">
        <f>SUM(AA139:AA141)</f>
        <v>0</v>
      </c>
      <c r="AK138" s="40">
        <f>SUM(AB139:AB141)</f>
        <v>0</v>
      </c>
    </row>
    <row r="139" spans="1:48" ht="12.75">
      <c r="A139" s="5" t="s">
        <v>58</v>
      </c>
      <c r="B139" s="5" t="s">
        <v>8</v>
      </c>
      <c r="C139" s="5" t="s">
        <v>186</v>
      </c>
      <c r="D139" s="5" t="s">
        <v>259</v>
      </c>
      <c r="E139" s="5" t="s">
        <v>356</v>
      </c>
      <c r="F139" s="86">
        <v>10.72</v>
      </c>
      <c r="G139" s="21">
        <v>0</v>
      </c>
      <c r="H139" s="21">
        <f>F139*AE139</f>
        <v>0</v>
      </c>
      <c r="I139" s="21">
        <f>J139-H139</f>
        <v>0</v>
      </c>
      <c r="J139" s="21">
        <f>F139*G139</f>
        <v>0</v>
      </c>
      <c r="K139" s="21">
        <v>0</v>
      </c>
      <c r="L139" s="21">
        <f>F139*K139</f>
        <v>0</v>
      </c>
      <c r="M139" s="33" t="s">
        <v>376</v>
      </c>
      <c r="P139" s="37">
        <f>IF(AG139="5",J139,0)</f>
        <v>0</v>
      </c>
      <c r="R139" s="37">
        <f>IF(AG139="1",H139,0)</f>
        <v>0</v>
      </c>
      <c r="S139" s="37">
        <f>IF(AG139="1",I139,0)</f>
        <v>0</v>
      </c>
      <c r="T139" s="37">
        <f>IF(AG139="7",H139,0)</f>
        <v>0</v>
      </c>
      <c r="U139" s="37">
        <f>IF(AG139="7",I139,0)</f>
        <v>0</v>
      </c>
      <c r="V139" s="37">
        <f>IF(AG139="2",H139,0)</f>
        <v>0</v>
      </c>
      <c r="W139" s="37">
        <f>IF(AG139="2",I139,0)</f>
        <v>0</v>
      </c>
      <c r="X139" s="37">
        <f>IF(AG139="0",J139,0)</f>
        <v>0</v>
      </c>
      <c r="Y139" s="29" t="s">
        <v>8</v>
      </c>
      <c r="Z139" s="21">
        <f>IF(AD139=0,J139,0)</f>
        <v>0</v>
      </c>
      <c r="AA139" s="21">
        <f>IF(AD139=15,J139,0)</f>
        <v>0</v>
      </c>
      <c r="AB139" s="21">
        <f>IF(AD139=21,J139,0)</f>
        <v>0</v>
      </c>
      <c r="AD139" s="37">
        <v>21</v>
      </c>
      <c r="AE139" s="37">
        <f>G139*0</f>
        <v>0</v>
      </c>
      <c r="AF139" s="37">
        <f>G139*(1-0)</f>
        <v>0</v>
      </c>
      <c r="AG139" s="33" t="s">
        <v>11</v>
      </c>
      <c r="AM139" s="37">
        <f>F139*AE139</f>
        <v>0</v>
      </c>
      <c r="AN139" s="37">
        <f>F139*AF139</f>
        <v>0</v>
      </c>
      <c r="AO139" s="38" t="s">
        <v>396</v>
      </c>
      <c r="AP139" s="38" t="s">
        <v>408</v>
      </c>
      <c r="AQ139" s="29" t="s">
        <v>424</v>
      </c>
      <c r="AS139" s="37">
        <f>AM139+AN139</f>
        <v>0</v>
      </c>
      <c r="AT139" s="37">
        <f>G139/(100-AU139)*100</f>
        <v>0</v>
      </c>
      <c r="AU139" s="37">
        <v>0</v>
      </c>
      <c r="AV139" s="37">
        <f>L139</f>
        <v>0</v>
      </c>
    </row>
    <row r="140" spans="4:6" ht="12.75">
      <c r="D140" s="17" t="s">
        <v>285</v>
      </c>
      <c r="F140" s="88">
        <v>10.72</v>
      </c>
    </row>
    <row r="141" spans="1:48" ht="12.75">
      <c r="A141" s="5" t="s">
        <v>59</v>
      </c>
      <c r="B141" s="5" t="s">
        <v>8</v>
      </c>
      <c r="C141" s="5" t="s">
        <v>187</v>
      </c>
      <c r="D141" s="5" t="s">
        <v>261</v>
      </c>
      <c r="E141" s="5" t="s">
        <v>356</v>
      </c>
      <c r="F141" s="86">
        <v>214.4</v>
      </c>
      <c r="G141" s="21">
        <v>0</v>
      </c>
      <c r="H141" s="21">
        <f>F141*AE141</f>
        <v>0</v>
      </c>
      <c r="I141" s="21">
        <f>J141-H141</f>
        <v>0</v>
      </c>
      <c r="J141" s="21">
        <f>F141*G141</f>
        <v>0</v>
      </c>
      <c r="K141" s="21">
        <v>0</v>
      </c>
      <c r="L141" s="21">
        <f>F141*K141</f>
        <v>0</v>
      </c>
      <c r="M141" s="33" t="s">
        <v>376</v>
      </c>
      <c r="P141" s="37">
        <f>IF(AG141="5",J141,0)</f>
        <v>0</v>
      </c>
      <c r="R141" s="37">
        <f>IF(AG141="1",H141,0)</f>
        <v>0</v>
      </c>
      <c r="S141" s="37">
        <f>IF(AG141="1",I141,0)</f>
        <v>0</v>
      </c>
      <c r="T141" s="37">
        <f>IF(AG141="7",H141,0)</f>
        <v>0</v>
      </c>
      <c r="U141" s="37">
        <f>IF(AG141="7",I141,0)</f>
        <v>0</v>
      </c>
      <c r="V141" s="37">
        <f>IF(AG141="2",H141,0)</f>
        <v>0</v>
      </c>
      <c r="W141" s="37">
        <f>IF(AG141="2",I141,0)</f>
        <v>0</v>
      </c>
      <c r="X141" s="37">
        <f>IF(AG141="0",J141,0)</f>
        <v>0</v>
      </c>
      <c r="Y141" s="29" t="s">
        <v>8</v>
      </c>
      <c r="Z141" s="21">
        <f>IF(AD141=0,J141,0)</f>
        <v>0</v>
      </c>
      <c r="AA141" s="21">
        <f>IF(AD141=15,J141,0)</f>
        <v>0</v>
      </c>
      <c r="AB141" s="21">
        <f>IF(AD141=21,J141,0)</f>
        <v>0</v>
      </c>
      <c r="AD141" s="37">
        <v>21</v>
      </c>
      <c r="AE141" s="37">
        <f>G141*0</f>
        <v>0</v>
      </c>
      <c r="AF141" s="37">
        <f>G141*(1-0)</f>
        <v>0</v>
      </c>
      <c r="AG141" s="33" t="s">
        <v>11</v>
      </c>
      <c r="AM141" s="37">
        <f>F141*AE141</f>
        <v>0</v>
      </c>
      <c r="AN141" s="37">
        <f>F141*AF141</f>
        <v>0</v>
      </c>
      <c r="AO141" s="38" t="s">
        <v>396</v>
      </c>
      <c r="AP141" s="38" t="s">
        <v>408</v>
      </c>
      <c r="AQ141" s="29" t="s">
        <v>424</v>
      </c>
      <c r="AS141" s="37">
        <f>AM141+AN141</f>
        <v>0</v>
      </c>
      <c r="AT141" s="37">
        <f>G141/(100-AU141)*100</f>
        <v>0</v>
      </c>
      <c r="AU141" s="37">
        <v>0</v>
      </c>
      <c r="AV141" s="37">
        <f>L141</f>
        <v>0</v>
      </c>
    </row>
    <row r="142" spans="4:6" ht="12.75">
      <c r="D142" s="17" t="s">
        <v>286</v>
      </c>
      <c r="F142" s="88">
        <v>214.4</v>
      </c>
    </row>
    <row r="143" spans="1:37" ht="12.75">
      <c r="A143" s="4"/>
      <c r="B143" s="14" t="s">
        <v>8</v>
      </c>
      <c r="C143" s="14" t="s">
        <v>188</v>
      </c>
      <c r="D143" s="14" t="s">
        <v>227</v>
      </c>
      <c r="E143" s="4" t="s">
        <v>6</v>
      </c>
      <c r="F143" s="4" t="s">
        <v>6</v>
      </c>
      <c r="G143" s="4" t="s">
        <v>6</v>
      </c>
      <c r="H143" s="40">
        <f>SUM(H144:H144)</f>
        <v>0</v>
      </c>
      <c r="I143" s="40">
        <f>SUM(I144:I144)</f>
        <v>0</v>
      </c>
      <c r="J143" s="40">
        <f>H143+I143</f>
        <v>0</v>
      </c>
      <c r="K143" s="29"/>
      <c r="L143" s="40">
        <f>SUM(L144:L144)</f>
        <v>0</v>
      </c>
      <c r="M143" s="29"/>
      <c r="Y143" s="29" t="s">
        <v>8</v>
      </c>
      <c r="AI143" s="40">
        <f>SUM(Z144:Z144)</f>
        <v>0</v>
      </c>
      <c r="AJ143" s="40">
        <f>SUM(AA144:AA144)</f>
        <v>0</v>
      </c>
      <c r="AK143" s="40">
        <f>SUM(AB144:AB144)</f>
        <v>0</v>
      </c>
    </row>
    <row r="144" spans="1:48" ht="12.75">
      <c r="A144" s="5" t="s">
        <v>60</v>
      </c>
      <c r="B144" s="5" t="s">
        <v>8</v>
      </c>
      <c r="C144" s="5" t="s">
        <v>189</v>
      </c>
      <c r="D144" s="5" t="s">
        <v>263</v>
      </c>
      <c r="E144" s="5" t="s">
        <v>356</v>
      </c>
      <c r="F144" s="86">
        <v>10.72</v>
      </c>
      <c r="G144" s="21">
        <v>0</v>
      </c>
      <c r="H144" s="21">
        <f>F144*AE144</f>
        <v>0</v>
      </c>
      <c r="I144" s="21">
        <f>J144-H144</f>
        <v>0</v>
      </c>
      <c r="J144" s="21">
        <f>F144*G144</f>
        <v>0</v>
      </c>
      <c r="K144" s="21">
        <v>0</v>
      </c>
      <c r="L144" s="21">
        <f>F144*K144</f>
        <v>0</v>
      </c>
      <c r="M144" s="33" t="s">
        <v>376</v>
      </c>
      <c r="P144" s="37">
        <f>IF(AG144="5",J144,0)</f>
        <v>0</v>
      </c>
      <c r="R144" s="37">
        <f>IF(AG144="1",H144,0)</f>
        <v>0</v>
      </c>
      <c r="S144" s="37">
        <f>IF(AG144="1",I144,0)</f>
        <v>0</v>
      </c>
      <c r="T144" s="37">
        <f>IF(AG144="7",H144,0)</f>
        <v>0</v>
      </c>
      <c r="U144" s="37">
        <f>IF(AG144="7",I144,0)</f>
        <v>0</v>
      </c>
      <c r="V144" s="37">
        <f>IF(AG144="2",H144,0)</f>
        <v>0</v>
      </c>
      <c r="W144" s="37">
        <f>IF(AG144="2",I144,0)</f>
        <v>0</v>
      </c>
      <c r="X144" s="37">
        <f>IF(AG144="0",J144,0)</f>
        <v>0</v>
      </c>
      <c r="Y144" s="29" t="s">
        <v>8</v>
      </c>
      <c r="Z144" s="21">
        <f>IF(AD144=0,J144,0)</f>
        <v>0</v>
      </c>
      <c r="AA144" s="21">
        <f>IF(AD144=15,J144,0)</f>
        <v>0</v>
      </c>
      <c r="AB144" s="21">
        <f>IF(AD144=21,J144,0)</f>
        <v>0</v>
      </c>
      <c r="AD144" s="37">
        <v>21</v>
      </c>
      <c r="AE144" s="37">
        <f>G144*0</f>
        <v>0</v>
      </c>
      <c r="AF144" s="37">
        <f>G144*(1-0)</f>
        <v>0</v>
      </c>
      <c r="AG144" s="33" t="s">
        <v>11</v>
      </c>
      <c r="AM144" s="37">
        <f>F144*AE144</f>
        <v>0</v>
      </c>
      <c r="AN144" s="37">
        <f>F144*AF144</f>
        <v>0</v>
      </c>
      <c r="AO144" s="38" t="s">
        <v>397</v>
      </c>
      <c r="AP144" s="38" t="s">
        <v>408</v>
      </c>
      <c r="AQ144" s="29" t="s">
        <v>424</v>
      </c>
      <c r="AS144" s="37">
        <f>AM144+AN144</f>
        <v>0</v>
      </c>
      <c r="AT144" s="37">
        <f>G144/(100-AU144)*100</f>
        <v>0</v>
      </c>
      <c r="AU144" s="37">
        <v>0</v>
      </c>
      <c r="AV144" s="37">
        <f>L144</f>
        <v>0</v>
      </c>
    </row>
    <row r="145" spans="4:6" ht="12.75">
      <c r="D145" s="17" t="s">
        <v>287</v>
      </c>
      <c r="F145" s="88">
        <v>10.72</v>
      </c>
    </row>
    <row r="146" spans="1:37" ht="12.75">
      <c r="A146" s="4"/>
      <c r="B146" s="14" t="s">
        <v>8</v>
      </c>
      <c r="C146" s="14" t="s">
        <v>190</v>
      </c>
      <c r="D146" s="14" t="s">
        <v>265</v>
      </c>
      <c r="E146" s="4" t="s">
        <v>6</v>
      </c>
      <c r="F146" s="4" t="s">
        <v>6</v>
      </c>
      <c r="G146" s="4" t="s">
        <v>6</v>
      </c>
      <c r="H146" s="40">
        <f>SUM(H147:H153)</f>
        <v>0</v>
      </c>
      <c r="I146" s="40">
        <f>SUM(I147:I153)</f>
        <v>0</v>
      </c>
      <c r="J146" s="40">
        <f>H146+I146</f>
        <v>0</v>
      </c>
      <c r="K146" s="29"/>
      <c r="L146" s="40">
        <f>SUM(L147:L153)</f>
        <v>0</v>
      </c>
      <c r="M146" s="29"/>
      <c r="Y146" s="29" t="s">
        <v>8</v>
      </c>
      <c r="AI146" s="40">
        <f>SUM(Z147:Z153)</f>
        <v>0</v>
      </c>
      <c r="AJ146" s="40">
        <f>SUM(AA147:AA153)</f>
        <v>0</v>
      </c>
      <c r="AK146" s="40">
        <f>SUM(AB147:AB153)</f>
        <v>0</v>
      </c>
    </row>
    <row r="147" spans="1:48" ht="12.75">
      <c r="A147" s="5" t="s">
        <v>61</v>
      </c>
      <c r="B147" s="5" t="s">
        <v>8</v>
      </c>
      <c r="C147" s="5" t="s">
        <v>191</v>
      </c>
      <c r="D147" s="5" t="s">
        <v>266</v>
      </c>
      <c r="E147" s="5" t="s">
        <v>356</v>
      </c>
      <c r="F147" s="86">
        <v>3.08</v>
      </c>
      <c r="G147" s="21">
        <v>0</v>
      </c>
      <c r="H147" s="21">
        <f>F147*AE147</f>
        <v>0</v>
      </c>
      <c r="I147" s="21">
        <f>J147-H147</f>
        <v>0</v>
      </c>
      <c r="J147" s="21">
        <f>F147*G147</f>
        <v>0</v>
      </c>
      <c r="K147" s="21">
        <v>0</v>
      </c>
      <c r="L147" s="21">
        <f>F147*K147</f>
        <v>0</v>
      </c>
      <c r="M147" s="33" t="s">
        <v>376</v>
      </c>
      <c r="P147" s="37">
        <f>IF(AG147="5",J147,0)</f>
        <v>0</v>
      </c>
      <c r="R147" s="37">
        <f>IF(AG147="1",H147,0)</f>
        <v>0</v>
      </c>
      <c r="S147" s="37">
        <f>IF(AG147="1",I147,0)</f>
        <v>0</v>
      </c>
      <c r="T147" s="37">
        <f>IF(AG147="7",H147,0)</f>
        <v>0</v>
      </c>
      <c r="U147" s="37">
        <f>IF(AG147="7",I147,0)</f>
        <v>0</v>
      </c>
      <c r="V147" s="37">
        <f>IF(AG147="2",H147,0)</f>
        <v>0</v>
      </c>
      <c r="W147" s="37">
        <f>IF(AG147="2",I147,0)</f>
        <v>0</v>
      </c>
      <c r="X147" s="37">
        <f>IF(AG147="0",J147,0)</f>
        <v>0</v>
      </c>
      <c r="Y147" s="29" t="s">
        <v>8</v>
      </c>
      <c r="Z147" s="21">
        <f>IF(AD147=0,J147,0)</f>
        <v>0</v>
      </c>
      <c r="AA147" s="21">
        <f>IF(AD147=15,J147,0)</f>
        <v>0</v>
      </c>
      <c r="AB147" s="21">
        <f>IF(AD147=21,J147,0)</f>
        <v>0</v>
      </c>
      <c r="AD147" s="37">
        <v>21</v>
      </c>
      <c r="AE147" s="37">
        <f>G147*0</f>
        <v>0</v>
      </c>
      <c r="AF147" s="37">
        <f>G147*(1-0)</f>
        <v>0</v>
      </c>
      <c r="AG147" s="33" t="s">
        <v>11</v>
      </c>
      <c r="AM147" s="37">
        <f>F147*AE147</f>
        <v>0</v>
      </c>
      <c r="AN147" s="37">
        <f>F147*AF147</f>
        <v>0</v>
      </c>
      <c r="AO147" s="38" t="s">
        <v>398</v>
      </c>
      <c r="AP147" s="38" t="s">
        <v>408</v>
      </c>
      <c r="AQ147" s="29" t="s">
        <v>424</v>
      </c>
      <c r="AS147" s="37">
        <f>AM147+AN147</f>
        <v>0</v>
      </c>
      <c r="AT147" s="37">
        <f>G147/(100-AU147)*100</f>
        <v>0</v>
      </c>
      <c r="AU147" s="37">
        <v>0</v>
      </c>
      <c r="AV147" s="37">
        <f>L147</f>
        <v>0</v>
      </c>
    </row>
    <row r="148" spans="4:6" ht="12.75">
      <c r="D148" s="17" t="s">
        <v>288</v>
      </c>
      <c r="F148" s="88">
        <v>3.08</v>
      </c>
    </row>
    <row r="149" spans="1:48" ht="12.75">
      <c r="A149" s="5" t="s">
        <v>62</v>
      </c>
      <c r="B149" s="5" t="s">
        <v>8</v>
      </c>
      <c r="C149" s="5" t="s">
        <v>192</v>
      </c>
      <c r="D149" s="5" t="s">
        <v>268</v>
      </c>
      <c r="E149" s="5" t="s">
        <v>356</v>
      </c>
      <c r="F149" s="86">
        <v>3.08</v>
      </c>
      <c r="G149" s="21">
        <v>0</v>
      </c>
      <c r="H149" s="21">
        <f>F149*AE149</f>
        <v>0</v>
      </c>
      <c r="I149" s="21">
        <f>J149-H149</f>
        <v>0</v>
      </c>
      <c r="J149" s="21">
        <f>F149*G149</f>
        <v>0</v>
      </c>
      <c r="K149" s="21">
        <v>0</v>
      </c>
      <c r="L149" s="21">
        <f>F149*K149</f>
        <v>0</v>
      </c>
      <c r="M149" s="33" t="s">
        <v>376</v>
      </c>
      <c r="P149" s="37">
        <f>IF(AG149="5",J149,0)</f>
        <v>0</v>
      </c>
      <c r="R149" s="37">
        <f>IF(AG149="1",H149,0)</f>
        <v>0</v>
      </c>
      <c r="S149" s="37">
        <f>IF(AG149="1",I149,0)</f>
        <v>0</v>
      </c>
      <c r="T149" s="37">
        <f>IF(AG149="7",H149,0)</f>
        <v>0</v>
      </c>
      <c r="U149" s="37">
        <f>IF(AG149="7",I149,0)</f>
        <v>0</v>
      </c>
      <c r="V149" s="37">
        <f>IF(AG149="2",H149,0)</f>
        <v>0</v>
      </c>
      <c r="W149" s="37">
        <f>IF(AG149="2",I149,0)</f>
        <v>0</v>
      </c>
      <c r="X149" s="37">
        <f>IF(AG149="0",J149,0)</f>
        <v>0</v>
      </c>
      <c r="Y149" s="29" t="s">
        <v>8</v>
      </c>
      <c r="Z149" s="21">
        <f>IF(AD149=0,J149,0)</f>
        <v>0</v>
      </c>
      <c r="AA149" s="21">
        <f>IF(AD149=15,J149,0)</f>
        <v>0</v>
      </c>
      <c r="AB149" s="21">
        <f>IF(AD149=21,J149,0)</f>
        <v>0</v>
      </c>
      <c r="AD149" s="37">
        <v>21</v>
      </c>
      <c r="AE149" s="37">
        <f>G149*0</f>
        <v>0</v>
      </c>
      <c r="AF149" s="37">
        <f>G149*(1-0)</f>
        <v>0</v>
      </c>
      <c r="AG149" s="33" t="s">
        <v>11</v>
      </c>
      <c r="AM149" s="37">
        <f>F149*AE149</f>
        <v>0</v>
      </c>
      <c r="AN149" s="37">
        <f>F149*AF149</f>
        <v>0</v>
      </c>
      <c r="AO149" s="38" t="s">
        <v>398</v>
      </c>
      <c r="AP149" s="38" t="s">
        <v>408</v>
      </c>
      <c r="AQ149" s="29" t="s">
        <v>424</v>
      </c>
      <c r="AS149" s="37">
        <f>AM149+AN149</f>
        <v>0</v>
      </c>
      <c r="AT149" s="37">
        <f>G149/(100-AU149)*100</f>
        <v>0</v>
      </c>
      <c r="AU149" s="37">
        <v>0</v>
      </c>
      <c r="AV149" s="37">
        <f>L149</f>
        <v>0</v>
      </c>
    </row>
    <row r="150" spans="4:6" ht="12.75">
      <c r="D150" s="17" t="s">
        <v>288</v>
      </c>
      <c r="F150" s="88">
        <v>3.08</v>
      </c>
    </row>
    <row r="151" spans="1:48" ht="12.75">
      <c r="A151" s="5" t="s">
        <v>63</v>
      </c>
      <c r="B151" s="5" t="s">
        <v>8</v>
      </c>
      <c r="C151" s="5" t="s">
        <v>193</v>
      </c>
      <c r="D151" s="5" t="s">
        <v>270</v>
      </c>
      <c r="E151" s="5" t="s">
        <v>356</v>
      </c>
      <c r="F151" s="86">
        <v>3.08</v>
      </c>
      <c r="G151" s="21">
        <v>0</v>
      </c>
      <c r="H151" s="21">
        <f>F151*AE151</f>
        <v>0</v>
      </c>
      <c r="I151" s="21">
        <f>J151-H151</f>
        <v>0</v>
      </c>
      <c r="J151" s="21">
        <f>F151*G151</f>
        <v>0</v>
      </c>
      <c r="K151" s="21">
        <v>0</v>
      </c>
      <c r="L151" s="21">
        <f>F151*K151</f>
        <v>0</v>
      </c>
      <c r="M151" s="33" t="s">
        <v>376</v>
      </c>
      <c r="P151" s="37">
        <f>IF(AG151="5",J151,0)</f>
        <v>0</v>
      </c>
      <c r="R151" s="37">
        <f>IF(AG151="1",H151,0)</f>
        <v>0</v>
      </c>
      <c r="S151" s="37">
        <f>IF(AG151="1",I151,0)</f>
        <v>0</v>
      </c>
      <c r="T151" s="37">
        <f>IF(AG151="7",H151,0)</f>
        <v>0</v>
      </c>
      <c r="U151" s="37">
        <f>IF(AG151="7",I151,0)</f>
        <v>0</v>
      </c>
      <c r="V151" s="37">
        <f>IF(AG151="2",H151,0)</f>
        <v>0</v>
      </c>
      <c r="W151" s="37">
        <f>IF(AG151="2",I151,0)</f>
        <v>0</v>
      </c>
      <c r="X151" s="37">
        <f>IF(AG151="0",J151,0)</f>
        <v>0</v>
      </c>
      <c r="Y151" s="29" t="s">
        <v>8</v>
      </c>
      <c r="Z151" s="21">
        <f>IF(AD151=0,J151,0)</f>
        <v>0</v>
      </c>
      <c r="AA151" s="21">
        <f>IF(AD151=15,J151,0)</f>
        <v>0</v>
      </c>
      <c r="AB151" s="21">
        <f>IF(AD151=21,J151,0)</f>
        <v>0</v>
      </c>
      <c r="AD151" s="37">
        <v>21</v>
      </c>
      <c r="AE151" s="37">
        <f>G151*0.0101527773279352</f>
        <v>0</v>
      </c>
      <c r="AF151" s="37">
        <f>G151*(1-0.0101527773279352)</f>
        <v>0</v>
      </c>
      <c r="AG151" s="33" t="s">
        <v>11</v>
      </c>
      <c r="AM151" s="37">
        <f>F151*AE151</f>
        <v>0</v>
      </c>
      <c r="AN151" s="37">
        <f>F151*AF151</f>
        <v>0</v>
      </c>
      <c r="AO151" s="38" t="s">
        <v>398</v>
      </c>
      <c r="AP151" s="38" t="s">
        <v>408</v>
      </c>
      <c r="AQ151" s="29" t="s">
        <v>424</v>
      </c>
      <c r="AS151" s="37">
        <f>AM151+AN151</f>
        <v>0</v>
      </c>
      <c r="AT151" s="37">
        <f>G151/(100-AU151)*100</f>
        <v>0</v>
      </c>
      <c r="AU151" s="37">
        <v>0</v>
      </c>
      <c r="AV151" s="37">
        <f>L151</f>
        <v>0</v>
      </c>
    </row>
    <row r="152" spans="4:6" ht="12.75">
      <c r="D152" s="17" t="s">
        <v>288</v>
      </c>
      <c r="F152" s="88">
        <v>3.08</v>
      </c>
    </row>
    <row r="153" spans="1:48" ht="12.75">
      <c r="A153" s="5" t="s">
        <v>64</v>
      </c>
      <c r="B153" s="5" t="s">
        <v>8</v>
      </c>
      <c r="C153" s="5" t="s">
        <v>194</v>
      </c>
      <c r="D153" s="5" t="s">
        <v>271</v>
      </c>
      <c r="E153" s="5" t="s">
        <v>356</v>
      </c>
      <c r="F153" s="86">
        <v>3.08</v>
      </c>
      <c r="G153" s="21">
        <v>0</v>
      </c>
      <c r="H153" s="21">
        <f>F153*AE153</f>
        <v>0</v>
      </c>
      <c r="I153" s="21">
        <f>J153-H153</f>
        <v>0</v>
      </c>
      <c r="J153" s="21">
        <f>F153*G153</f>
        <v>0</v>
      </c>
      <c r="K153" s="21">
        <v>0</v>
      </c>
      <c r="L153" s="21">
        <f>F153*K153</f>
        <v>0</v>
      </c>
      <c r="M153" s="33" t="s">
        <v>376</v>
      </c>
      <c r="P153" s="37">
        <f>IF(AG153="5",J153,0)</f>
        <v>0</v>
      </c>
      <c r="R153" s="37">
        <f>IF(AG153="1",H153,0)</f>
        <v>0</v>
      </c>
      <c r="S153" s="37">
        <f>IF(AG153="1",I153,0)</f>
        <v>0</v>
      </c>
      <c r="T153" s="37">
        <f>IF(AG153="7",H153,0)</f>
        <v>0</v>
      </c>
      <c r="U153" s="37">
        <f>IF(AG153="7",I153,0)</f>
        <v>0</v>
      </c>
      <c r="V153" s="37">
        <f>IF(AG153="2",H153,0)</f>
        <v>0</v>
      </c>
      <c r="W153" s="37">
        <f>IF(AG153="2",I153,0)</f>
        <v>0</v>
      </c>
      <c r="X153" s="37">
        <f>IF(AG153="0",J153,0)</f>
        <v>0</v>
      </c>
      <c r="Y153" s="29" t="s">
        <v>8</v>
      </c>
      <c r="Z153" s="21">
        <f>IF(AD153=0,J153,0)</f>
        <v>0</v>
      </c>
      <c r="AA153" s="21">
        <f>IF(AD153=15,J153,0)</f>
        <v>0</v>
      </c>
      <c r="AB153" s="21">
        <f>IF(AD153=21,J153,0)</f>
        <v>0</v>
      </c>
      <c r="AD153" s="37">
        <v>21</v>
      </c>
      <c r="AE153" s="37">
        <f>G153*0</f>
        <v>0</v>
      </c>
      <c r="AF153" s="37">
        <f>G153*(1-0)</f>
        <v>0</v>
      </c>
      <c r="AG153" s="33" t="s">
        <v>11</v>
      </c>
      <c r="AM153" s="37">
        <f>F153*AE153</f>
        <v>0</v>
      </c>
      <c r="AN153" s="37">
        <f>F153*AF153</f>
        <v>0</v>
      </c>
      <c r="AO153" s="38" t="s">
        <v>398</v>
      </c>
      <c r="AP153" s="38" t="s">
        <v>408</v>
      </c>
      <c r="AQ153" s="29" t="s">
        <v>424</v>
      </c>
      <c r="AS153" s="37">
        <f>AM153+AN153</f>
        <v>0</v>
      </c>
      <c r="AT153" s="37">
        <f>G153/(100-AU153)*100</f>
        <v>0</v>
      </c>
      <c r="AU153" s="37">
        <v>0</v>
      </c>
      <c r="AV153" s="37">
        <f>L153</f>
        <v>0</v>
      </c>
    </row>
    <row r="154" spans="4:6" ht="12.75">
      <c r="D154" s="17" t="s">
        <v>288</v>
      </c>
      <c r="F154" s="88">
        <v>3.08</v>
      </c>
    </row>
    <row r="155" spans="1:13" ht="12.75">
      <c r="A155" s="7"/>
      <c r="B155" s="15" t="s">
        <v>9</v>
      </c>
      <c r="C155" s="15"/>
      <c r="D155" s="15" t="s">
        <v>289</v>
      </c>
      <c r="E155" s="7" t="s">
        <v>6</v>
      </c>
      <c r="F155" s="7" t="s">
        <v>6</v>
      </c>
      <c r="G155" s="7" t="s">
        <v>6</v>
      </c>
      <c r="H155" s="41">
        <f>H156+H159+H164+H167+H177+H182+H195+H200+H205+H210+H223+H228+H231</f>
        <v>0</v>
      </c>
      <c r="I155" s="41">
        <f>I156+I159+I164+I167+I177+I182+I195+I200+I205+I210+I223+I228+I231</f>
        <v>0</v>
      </c>
      <c r="J155" s="41">
        <f>H155+I155</f>
        <v>0</v>
      </c>
      <c r="K155" s="30"/>
      <c r="L155" s="41">
        <f>L156+L159+L164+L167+L177+L182+L195+L200+L205+L210+L223+L228+L231</f>
        <v>11.541470270000001</v>
      </c>
      <c r="M155" s="30"/>
    </row>
    <row r="156" spans="1:37" ht="12.75">
      <c r="A156" s="4"/>
      <c r="B156" s="14" t="s">
        <v>9</v>
      </c>
      <c r="C156" s="14" t="s">
        <v>40</v>
      </c>
      <c r="D156" s="14" t="s">
        <v>203</v>
      </c>
      <c r="E156" s="4" t="s">
        <v>6</v>
      </c>
      <c r="F156" s="4" t="s">
        <v>6</v>
      </c>
      <c r="G156" s="4" t="s">
        <v>6</v>
      </c>
      <c r="H156" s="40">
        <f>SUM(H157:H157)</f>
        <v>0</v>
      </c>
      <c r="I156" s="40">
        <f>SUM(I157:I157)</f>
        <v>0</v>
      </c>
      <c r="J156" s="40">
        <f>H156+I156</f>
        <v>0</v>
      </c>
      <c r="K156" s="29"/>
      <c r="L156" s="40">
        <f>SUM(L157:L157)</f>
        <v>5.04528</v>
      </c>
      <c r="M156" s="29"/>
      <c r="Y156" s="29" t="s">
        <v>9</v>
      </c>
      <c r="AI156" s="40">
        <f>SUM(Z157:Z157)</f>
        <v>0</v>
      </c>
      <c r="AJ156" s="40">
        <f>SUM(AA157:AA157)</f>
        <v>0</v>
      </c>
      <c r="AK156" s="40">
        <f>SUM(AB157:AB157)</f>
        <v>0</v>
      </c>
    </row>
    <row r="157" spans="1:48" ht="12.75">
      <c r="A157" s="5" t="s">
        <v>65</v>
      </c>
      <c r="B157" s="5" t="s">
        <v>9</v>
      </c>
      <c r="C157" s="5" t="s">
        <v>153</v>
      </c>
      <c r="D157" s="5" t="s">
        <v>204</v>
      </c>
      <c r="E157" s="5" t="s">
        <v>350</v>
      </c>
      <c r="F157" s="86">
        <v>55.2</v>
      </c>
      <c r="G157" s="21">
        <v>0</v>
      </c>
      <c r="H157" s="21">
        <f>F157*AE157</f>
        <v>0</v>
      </c>
      <c r="I157" s="21">
        <f>J157-H157</f>
        <v>0</v>
      </c>
      <c r="J157" s="21">
        <f>F157*G157</f>
        <v>0</v>
      </c>
      <c r="K157" s="21">
        <v>0.0914</v>
      </c>
      <c r="L157" s="21">
        <f>F157*K157</f>
        <v>5.04528</v>
      </c>
      <c r="M157" s="33" t="s">
        <v>376</v>
      </c>
      <c r="P157" s="37">
        <f>IF(AG157="5",J157,0)</f>
        <v>0</v>
      </c>
      <c r="R157" s="37">
        <f>IF(AG157="1",H157,0)</f>
        <v>0</v>
      </c>
      <c r="S157" s="37">
        <f>IF(AG157="1",I157,0)</f>
        <v>0</v>
      </c>
      <c r="T157" s="37">
        <f>IF(AG157="7",H157,0)</f>
        <v>0</v>
      </c>
      <c r="U157" s="37">
        <f>IF(AG157="7",I157,0)</f>
        <v>0</v>
      </c>
      <c r="V157" s="37">
        <f>IF(AG157="2",H157,0)</f>
        <v>0</v>
      </c>
      <c r="W157" s="37">
        <f>IF(AG157="2",I157,0)</f>
        <v>0</v>
      </c>
      <c r="X157" s="37">
        <f>IF(AG157="0",J157,0)</f>
        <v>0</v>
      </c>
      <c r="Y157" s="29" t="s">
        <v>9</v>
      </c>
      <c r="Z157" s="21">
        <f>IF(AD157=0,J157,0)</f>
        <v>0</v>
      </c>
      <c r="AA157" s="21">
        <f>IF(AD157=15,J157,0)</f>
        <v>0</v>
      </c>
      <c r="AB157" s="21">
        <f>IF(AD157=21,J157,0)</f>
        <v>0</v>
      </c>
      <c r="AD157" s="37">
        <v>21</v>
      </c>
      <c r="AE157" s="37">
        <f>G157*0.288832601787116</f>
        <v>0</v>
      </c>
      <c r="AF157" s="37">
        <f>G157*(1-0.288832601787116)</f>
        <v>0</v>
      </c>
      <c r="AG157" s="33" t="s">
        <v>7</v>
      </c>
      <c r="AM157" s="37">
        <f>F157*AE157</f>
        <v>0</v>
      </c>
      <c r="AN157" s="37">
        <f>F157*AF157</f>
        <v>0</v>
      </c>
      <c r="AO157" s="38" t="s">
        <v>386</v>
      </c>
      <c r="AP157" s="38" t="s">
        <v>409</v>
      </c>
      <c r="AQ157" s="29" t="s">
        <v>425</v>
      </c>
      <c r="AS157" s="37">
        <f>AM157+AN157</f>
        <v>0</v>
      </c>
      <c r="AT157" s="37">
        <f>G157/(100-AU157)*100</f>
        <v>0</v>
      </c>
      <c r="AU157" s="37">
        <v>0</v>
      </c>
      <c r="AV157" s="37">
        <f>L157</f>
        <v>5.04528</v>
      </c>
    </row>
    <row r="158" spans="4:6" ht="12.75">
      <c r="D158" s="17" t="s">
        <v>290</v>
      </c>
      <c r="F158" s="88">
        <v>55.2</v>
      </c>
    </row>
    <row r="159" spans="1:37" ht="12.75">
      <c r="A159" s="4"/>
      <c r="B159" s="14" t="s">
        <v>9</v>
      </c>
      <c r="C159" s="14" t="s">
        <v>67</v>
      </c>
      <c r="D159" s="14" t="s">
        <v>206</v>
      </c>
      <c r="E159" s="4" t="s">
        <v>6</v>
      </c>
      <c r="F159" s="4" t="s">
        <v>6</v>
      </c>
      <c r="G159" s="4" t="s">
        <v>6</v>
      </c>
      <c r="H159" s="40">
        <f>SUM(H160:H162)</f>
        <v>0</v>
      </c>
      <c r="I159" s="40">
        <f>SUM(I160:I162)</f>
        <v>0</v>
      </c>
      <c r="J159" s="40">
        <f>H159+I159</f>
        <v>0</v>
      </c>
      <c r="K159" s="29"/>
      <c r="L159" s="40">
        <f>SUM(L160:L162)</f>
        <v>1.0261599499999998</v>
      </c>
      <c r="M159" s="29"/>
      <c r="Y159" s="29" t="s">
        <v>9</v>
      </c>
      <c r="AI159" s="40">
        <f>SUM(Z160:Z162)</f>
        <v>0</v>
      </c>
      <c r="AJ159" s="40">
        <f>SUM(AA160:AA162)</f>
        <v>0</v>
      </c>
      <c r="AK159" s="40">
        <f>SUM(AB160:AB162)</f>
        <v>0</v>
      </c>
    </row>
    <row r="160" spans="1:48" ht="12.75">
      <c r="A160" s="5" t="s">
        <v>66</v>
      </c>
      <c r="B160" s="5" t="s">
        <v>9</v>
      </c>
      <c r="C160" s="5" t="s">
        <v>154</v>
      </c>
      <c r="D160" s="5" t="s">
        <v>207</v>
      </c>
      <c r="E160" s="5" t="s">
        <v>351</v>
      </c>
      <c r="F160" s="86">
        <v>29.355</v>
      </c>
      <c r="G160" s="21">
        <v>0</v>
      </c>
      <c r="H160" s="21">
        <f>F160*AE160</f>
        <v>0</v>
      </c>
      <c r="I160" s="21">
        <f>J160-H160</f>
        <v>0</v>
      </c>
      <c r="J160" s="21">
        <f>F160*G160</f>
        <v>0</v>
      </c>
      <c r="K160" s="21">
        <v>0.03491</v>
      </c>
      <c r="L160" s="21">
        <f>F160*K160</f>
        <v>1.02478305</v>
      </c>
      <c r="M160" s="33" t="s">
        <v>376</v>
      </c>
      <c r="P160" s="37">
        <f>IF(AG160="5",J160,0)</f>
        <v>0</v>
      </c>
      <c r="R160" s="37">
        <f>IF(AG160="1",H160,0)</f>
        <v>0</v>
      </c>
      <c r="S160" s="37">
        <f>IF(AG160="1",I160,0)</f>
        <v>0</v>
      </c>
      <c r="T160" s="37">
        <f>IF(AG160="7",H160,0)</f>
        <v>0</v>
      </c>
      <c r="U160" s="37">
        <f>IF(AG160="7",I160,0)</f>
        <v>0</v>
      </c>
      <c r="V160" s="37">
        <f>IF(AG160="2",H160,0)</f>
        <v>0</v>
      </c>
      <c r="W160" s="37">
        <f>IF(AG160="2",I160,0)</f>
        <v>0</v>
      </c>
      <c r="X160" s="37">
        <f>IF(AG160="0",J160,0)</f>
        <v>0</v>
      </c>
      <c r="Y160" s="29" t="s">
        <v>9</v>
      </c>
      <c r="Z160" s="21">
        <f>IF(AD160=0,J160,0)</f>
        <v>0</v>
      </c>
      <c r="AA160" s="21">
        <f>IF(AD160=15,J160,0)</f>
        <v>0</v>
      </c>
      <c r="AB160" s="21">
        <f>IF(AD160=21,J160,0)</f>
        <v>0</v>
      </c>
      <c r="AD160" s="37">
        <v>21</v>
      </c>
      <c r="AE160" s="37">
        <f>G160*0.225933890820336</f>
        <v>0</v>
      </c>
      <c r="AF160" s="37">
        <f>G160*(1-0.225933890820336)</f>
        <v>0</v>
      </c>
      <c r="AG160" s="33" t="s">
        <v>7</v>
      </c>
      <c r="AM160" s="37">
        <f>F160*AE160</f>
        <v>0</v>
      </c>
      <c r="AN160" s="37">
        <f>F160*AF160</f>
        <v>0</v>
      </c>
      <c r="AO160" s="38" t="s">
        <v>387</v>
      </c>
      <c r="AP160" s="38" t="s">
        <v>410</v>
      </c>
      <c r="AQ160" s="29" t="s">
        <v>425</v>
      </c>
      <c r="AS160" s="37">
        <f>AM160+AN160</f>
        <v>0</v>
      </c>
      <c r="AT160" s="37">
        <f>G160/(100-AU160)*100</f>
        <v>0</v>
      </c>
      <c r="AU160" s="37">
        <v>0</v>
      </c>
      <c r="AV160" s="37">
        <f>L160</f>
        <v>1.02478305</v>
      </c>
    </row>
    <row r="161" spans="4:6" ht="12.75">
      <c r="D161" s="17" t="s">
        <v>291</v>
      </c>
      <c r="F161" s="88">
        <v>29.355</v>
      </c>
    </row>
    <row r="162" spans="1:48" ht="12.75">
      <c r="A162" s="5" t="s">
        <v>67</v>
      </c>
      <c r="B162" s="5" t="s">
        <v>9</v>
      </c>
      <c r="C162" s="5" t="s">
        <v>155</v>
      </c>
      <c r="D162" s="5" t="s">
        <v>209</v>
      </c>
      <c r="E162" s="5" t="s">
        <v>351</v>
      </c>
      <c r="F162" s="86">
        <v>34.4225</v>
      </c>
      <c r="G162" s="21">
        <v>0</v>
      </c>
      <c r="H162" s="21">
        <f>F162*AE162</f>
        <v>0</v>
      </c>
      <c r="I162" s="21">
        <f>J162-H162</f>
        <v>0</v>
      </c>
      <c r="J162" s="21">
        <f>F162*G162</f>
        <v>0</v>
      </c>
      <c r="K162" s="21">
        <v>4E-05</v>
      </c>
      <c r="L162" s="21">
        <f>F162*K162</f>
        <v>0.0013769000000000001</v>
      </c>
      <c r="M162" s="33" t="s">
        <v>376</v>
      </c>
      <c r="P162" s="37">
        <f>IF(AG162="5",J162,0)</f>
        <v>0</v>
      </c>
      <c r="R162" s="37">
        <f>IF(AG162="1",H162,0)</f>
        <v>0</v>
      </c>
      <c r="S162" s="37">
        <f>IF(AG162="1",I162,0)</f>
        <v>0</v>
      </c>
      <c r="T162" s="37">
        <f>IF(AG162="7",H162,0)</f>
        <v>0</v>
      </c>
      <c r="U162" s="37">
        <f>IF(AG162="7",I162,0)</f>
        <v>0</v>
      </c>
      <c r="V162" s="37">
        <f>IF(AG162="2",H162,0)</f>
        <v>0</v>
      </c>
      <c r="W162" s="37">
        <f>IF(AG162="2",I162,0)</f>
        <v>0</v>
      </c>
      <c r="X162" s="37">
        <f>IF(AG162="0",J162,0)</f>
        <v>0</v>
      </c>
      <c r="Y162" s="29" t="s">
        <v>9</v>
      </c>
      <c r="Z162" s="21">
        <f>IF(AD162=0,J162,0)</f>
        <v>0</v>
      </c>
      <c r="AA162" s="21">
        <f>IF(AD162=15,J162,0)</f>
        <v>0</v>
      </c>
      <c r="AB162" s="21">
        <f>IF(AD162=21,J162,0)</f>
        <v>0</v>
      </c>
      <c r="AD162" s="37">
        <v>21</v>
      </c>
      <c r="AE162" s="37">
        <f>G162*0.328044622774869</f>
        <v>0</v>
      </c>
      <c r="AF162" s="37">
        <f>G162*(1-0.328044622774869)</f>
        <v>0</v>
      </c>
      <c r="AG162" s="33" t="s">
        <v>7</v>
      </c>
      <c r="AM162" s="37">
        <f>F162*AE162</f>
        <v>0</v>
      </c>
      <c r="AN162" s="37">
        <f>F162*AF162</f>
        <v>0</v>
      </c>
      <c r="AO162" s="38" t="s">
        <v>387</v>
      </c>
      <c r="AP162" s="38" t="s">
        <v>410</v>
      </c>
      <c r="AQ162" s="29" t="s">
        <v>425</v>
      </c>
      <c r="AS162" s="37">
        <f>AM162+AN162</f>
        <v>0</v>
      </c>
      <c r="AT162" s="37">
        <f>G162/(100-AU162)*100</f>
        <v>0</v>
      </c>
      <c r="AU162" s="37">
        <v>0</v>
      </c>
      <c r="AV162" s="37">
        <f>L162</f>
        <v>0.0013769000000000001</v>
      </c>
    </row>
    <row r="163" spans="4:6" ht="12.75">
      <c r="D163" s="17" t="s">
        <v>292</v>
      </c>
      <c r="F163" s="88">
        <v>34.4225</v>
      </c>
    </row>
    <row r="164" spans="1:37" ht="12.75">
      <c r="A164" s="4"/>
      <c r="B164" s="14" t="s">
        <v>9</v>
      </c>
      <c r="C164" s="14" t="s">
        <v>156</v>
      </c>
      <c r="D164" s="14" t="s">
        <v>211</v>
      </c>
      <c r="E164" s="4" t="s">
        <v>6</v>
      </c>
      <c r="F164" s="4" t="s">
        <v>6</v>
      </c>
      <c r="G164" s="4" t="s">
        <v>6</v>
      </c>
      <c r="H164" s="40">
        <f>SUM(H165:H165)</f>
        <v>0</v>
      </c>
      <c r="I164" s="40">
        <f>SUM(I165:I165)</f>
        <v>0</v>
      </c>
      <c r="J164" s="40">
        <f>H164+I164</f>
        <v>0</v>
      </c>
      <c r="K164" s="29"/>
      <c r="L164" s="40">
        <f>SUM(L165:L165)</f>
        <v>0</v>
      </c>
      <c r="M164" s="29"/>
      <c r="Y164" s="29" t="s">
        <v>9</v>
      </c>
      <c r="AI164" s="40">
        <f>SUM(Z165:Z165)</f>
        <v>0</v>
      </c>
      <c r="AJ164" s="40">
        <f>SUM(AA165:AA165)</f>
        <v>0</v>
      </c>
      <c r="AK164" s="40">
        <f>SUM(AB165:AB165)</f>
        <v>0</v>
      </c>
    </row>
    <row r="165" spans="1:48" ht="12.75">
      <c r="A165" s="5" t="s">
        <v>68</v>
      </c>
      <c r="B165" s="5" t="s">
        <v>9</v>
      </c>
      <c r="C165" s="5" t="s">
        <v>157</v>
      </c>
      <c r="D165" s="5" t="s">
        <v>212</v>
      </c>
      <c r="E165" s="5" t="s">
        <v>352</v>
      </c>
      <c r="F165" s="86">
        <v>26</v>
      </c>
      <c r="G165" s="21">
        <v>0</v>
      </c>
      <c r="H165" s="21">
        <f>F165*AE165</f>
        <v>0</v>
      </c>
      <c r="I165" s="21">
        <f>J165-H165</f>
        <v>0</v>
      </c>
      <c r="J165" s="21">
        <f>F165*G165</f>
        <v>0</v>
      </c>
      <c r="K165" s="21">
        <v>0</v>
      </c>
      <c r="L165" s="21">
        <f>F165*K165</f>
        <v>0</v>
      </c>
      <c r="M165" s="33"/>
      <c r="P165" s="37">
        <f>IF(AG165="5",J165,0)</f>
        <v>0</v>
      </c>
      <c r="R165" s="37">
        <f>IF(AG165="1",H165,0)</f>
        <v>0</v>
      </c>
      <c r="S165" s="37">
        <f>IF(AG165="1",I165,0)</f>
        <v>0</v>
      </c>
      <c r="T165" s="37">
        <f>IF(AG165="7",H165,0)</f>
        <v>0</v>
      </c>
      <c r="U165" s="37">
        <f>IF(AG165="7",I165,0)</f>
        <v>0</v>
      </c>
      <c r="V165" s="37">
        <f>IF(AG165="2",H165,0)</f>
        <v>0</v>
      </c>
      <c r="W165" s="37">
        <f>IF(AG165="2",I165,0)</f>
        <v>0</v>
      </c>
      <c r="X165" s="37">
        <f>IF(AG165="0",J165,0)</f>
        <v>0</v>
      </c>
      <c r="Y165" s="29" t="s">
        <v>9</v>
      </c>
      <c r="Z165" s="21">
        <f>IF(AD165=0,J165,0)</f>
        <v>0</v>
      </c>
      <c r="AA165" s="21">
        <f>IF(AD165=15,J165,0)</f>
        <v>0</v>
      </c>
      <c r="AB165" s="21">
        <f>IF(AD165=21,J165,0)</f>
        <v>0</v>
      </c>
      <c r="AD165" s="37">
        <v>21</v>
      </c>
      <c r="AE165" s="37">
        <f>G165*0</f>
        <v>0</v>
      </c>
      <c r="AF165" s="37">
        <f>G165*(1-0)</f>
        <v>0</v>
      </c>
      <c r="AG165" s="33" t="s">
        <v>7</v>
      </c>
      <c r="AM165" s="37">
        <f>F165*AE165</f>
        <v>0</v>
      </c>
      <c r="AN165" s="37">
        <f>F165*AF165</f>
        <v>0</v>
      </c>
      <c r="AO165" s="38" t="s">
        <v>388</v>
      </c>
      <c r="AP165" s="38" t="s">
        <v>410</v>
      </c>
      <c r="AQ165" s="29" t="s">
        <v>425</v>
      </c>
      <c r="AS165" s="37">
        <f>AM165+AN165</f>
        <v>0</v>
      </c>
      <c r="AT165" s="37">
        <f>G165/(100-AU165)*100</f>
        <v>0</v>
      </c>
      <c r="AU165" s="37">
        <v>0</v>
      </c>
      <c r="AV165" s="37">
        <f>L165</f>
        <v>0</v>
      </c>
    </row>
    <row r="166" spans="4:6" ht="12.75">
      <c r="D166" s="17" t="s">
        <v>293</v>
      </c>
      <c r="F166" s="88">
        <v>26</v>
      </c>
    </row>
    <row r="167" spans="1:37" ht="12.75">
      <c r="A167" s="4"/>
      <c r="B167" s="14" t="s">
        <v>9</v>
      </c>
      <c r="C167" s="14" t="s">
        <v>70</v>
      </c>
      <c r="D167" s="14" t="s">
        <v>214</v>
      </c>
      <c r="E167" s="4" t="s">
        <v>6</v>
      </c>
      <c r="F167" s="4" t="s">
        <v>6</v>
      </c>
      <c r="G167" s="4" t="s">
        <v>6</v>
      </c>
      <c r="H167" s="40">
        <f>SUM(H168:H175)</f>
        <v>0</v>
      </c>
      <c r="I167" s="40">
        <f>SUM(I168:I175)</f>
        <v>0</v>
      </c>
      <c r="J167" s="40">
        <f>H167+I167</f>
        <v>0</v>
      </c>
      <c r="K167" s="29"/>
      <c r="L167" s="40">
        <f>SUM(L168:L175)</f>
        <v>0.9517280000000001</v>
      </c>
      <c r="M167" s="29"/>
      <c r="Y167" s="29" t="s">
        <v>9</v>
      </c>
      <c r="AI167" s="40">
        <f>SUM(Z168:Z175)</f>
        <v>0</v>
      </c>
      <c r="AJ167" s="40">
        <f>SUM(AA168:AA175)</f>
        <v>0</v>
      </c>
      <c r="AK167" s="40">
        <f>SUM(AB168:AB175)</f>
        <v>0</v>
      </c>
    </row>
    <row r="168" spans="1:48" ht="12.75">
      <c r="A168" s="5" t="s">
        <v>69</v>
      </c>
      <c r="B168" s="5" t="s">
        <v>9</v>
      </c>
      <c r="C168" s="5" t="s">
        <v>158</v>
      </c>
      <c r="D168" s="5" t="s">
        <v>215</v>
      </c>
      <c r="E168" s="5" t="s">
        <v>353</v>
      </c>
      <c r="F168" s="86">
        <v>11</v>
      </c>
      <c r="G168" s="21">
        <v>0</v>
      </c>
      <c r="H168" s="21">
        <f>F168*AE168</f>
        <v>0</v>
      </c>
      <c r="I168" s="21">
        <f>J168-H168</f>
        <v>0</v>
      </c>
      <c r="J168" s="21">
        <f>F168*G168</f>
        <v>0</v>
      </c>
      <c r="K168" s="21">
        <v>0.0614</v>
      </c>
      <c r="L168" s="21">
        <f>F168*K168</f>
        <v>0.6754</v>
      </c>
      <c r="M168" s="33" t="s">
        <v>376</v>
      </c>
      <c r="P168" s="37">
        <f>IF(AG168="5",J168,0)</f>
        <v>0</v>
      </c>
      <c r="R168" s="37">
        <f>IF(AG168="1",H168,0)</f>
        <v>0</v>
      </c>
      <c r="S168" s="37">
        <f>IF(AG168="1",I168,0)</f>
        <v>0</v>
      </c>
      <c r="T168" s="37">
        <f>IF(AG168="7",H168,0)</f>
        <v>0</v>
      </c>
      <c r="U168" s="37">
        <f>IF(AG168="7",I168,0)</f>
        <v>0</v>
      </c>
      <c r="V168" s="37">
        <f>IF(AG168="2",H168,0)</f>
        <v>0</v>
      </c>
      <c r="W168" s="37">
        <f>IF(AG168="2",I168,0)</f>
        <v>0</v>
      </c>
      <c r="X168" s="37">
        <f>IF(AG168="0",J168,0)</f>
        <v>0</v>
      </c>
      <c r="Y168" s="29" t="s">
        <v>9</v>
      </c>
      <c r="Z168" s="21">
        <f>IF(AD168=0,J168,0)</f>
        <v>0</v>
      </c>
      <c r="AA168" s="21">
        <f>IF(AD168=15,J168,0)</f>
        <v>0</v>
      </c>
      <c r="AB168" s="21">
        <f>IF(AD168=21,J168,0)</f>
        <v>0</v>
      </c>
      <c r="AD168" s="37">
        <v>21</v>
      </c>
      <c r="AE168" s="37">
        <f>G168*0.298947763031878</f>
        <v>0</v>
      </c>
      <c r="AF168" s="37">
        <f>G168*(1-0.298947763031878)</f>
        <v>0</v>
      </c>
      <c r="AG168" s="33" t="s">
        <v>7</v>
      </c>
      <c r="AM168" s="37">
        <f>F168*AE168</f>
        <v>0</v>
      </c>
      <c r="AN168" s="37">
        <f>F168*AF168</f>
        <v>0</v>
      </c>
      <c r="AO168" s="38" t="s">
        <v>389</v>
      </c>
      <c r="AP168" s="38" t="s">
        <v>410</v>
      </c>
      <c r="AQ168" s="29" t="s">
        <v>425</v>
      </c>
      <c r="AS168" s="37">
        <f>AM168+AN168</f>
        <v>0</v>
      </c>
      <c r="AT168" s="37">
        <f>G168/(100-AU168)*100</f>
        <v>0</v>
      </c>
      <c r="AU168" s="37">
        <v>0</v>
      </c>
      <c r="AV168" s="37">
        <f>L168</f>
        <v>0.6754</v>
      </c>
    </row>
    <row r="169" spans="4:6" ht="12.75">
      <c r="D169" s="17" t="s">
        <v>294</v>
      </c>
      <c r="F169" s="88">
        <v>11</v>
      </c>
    </row>
    <row r="170" spans="1:48" ht="12.75">
      <c r="A170" s="5" t="s">
        <v>70</v>
      </c>
      <c r="B170" s="5" t="s">
        <v>9</v>
      </c>
      <c r="C170" s="5" t="s">
        <v>159</v>
      </c>
      <c r="D170" s="5" t="s">
        <v>217</v>
      </c>
      <c r="E170" s="5" t="s">
        <v>350</v>
      </c>
      <c r="F170" s="86">
        <v>83.75</v>
      </c>
      <c r="G170" s="21">
        <v>0</v>
      </c>
      <c r="H170" s="21">
        <f>F170*AE170</f>
        <v>0</v>
      </c>
      <c r="I170" s="21">
        <f>J170-H170</f>
        <v>0</v>
      </c>
      <c r="J170" s="21">
        <f>F170*G170</f>
        <v>0</v>
      </c>
      <c r="K170" s="21">
        <v>0</v>
      </c>
      <c r="L170" s="21">
        <f>F170*K170</f>
        <v>0</v>
      </c>
      <c r="M170" s="33" t="s">
        <v>376</v>
      </c>
      <c r="P170" s="37">
        <f>IF(AG170="5",J170,0)</f>
        <v>0</v>
      </c>
      <c r="R170" s="37">
        <f>IF(AG170="1",H170,0)</f>
        <v>0</v>
      </c>
      <c r="S170" s="37">
        <f>IF(AG170="1",I170,0)</f>
        <v>0</v>
      </c>
      <c r="T170" s="37">
        <f>IF(AG170="7",H170,0)</f>
        <v>0</v>
      </c>
      <c r="U170" s="37">
        <f>IF(AG170="7",I170,0)</f>
        <v>0</v>
      </c>
      <c r="V170" s="37">
        <f>IF(AG170="2",H170,0)</f>
        <v>0</v>
      </c>
      <c r="W170" s="37">
        <f>IF(AG170="2",I170,0)</f>
        <v>0</v>
      </c>
      <c r="X170" s="37">
        <f>IF(AG170="0",J170,0)</f>
        <v>0</v>
      </c>
      <c r="Y170" s="29" t="s">
        <v>9</v>
      </c>
      <c r="Z170" s="21">
        <f>IF(AD170=0,J170,0)</f>
        <v>0</v>
      </c>
      <c r="AA170" s="21">
        <f>IF(AD170=15,J170,0)</f>
        <v>0</v>
      </c>
      <c r="AB170" s="21">
        <f>IF(AD170=21,J170,0)</f>
        <v>0</v>
      </c>
      <c r="AD170" s="37">
        <v>21</v>
      </c>
      <c r="AE170" s="37">
        <f>G170*0.164042632218277</f>
        <v>0</v>
      </c>
      <c r="AF170" s="37">
        <f>G170*(1-0.164042632218277)</f>
        <v>0</v>
      </c>
      <c r="AG170" s="33" t="s">
        <v>7</v>
      </c>
      <c r="AM170" s="37">
        <f>F170*AE170</f>
        <v>0</v>
      </c>
      <c r="AN170" s="37">
        <f>F170*AF170</f>
        <v>0</v>
      </c>
      <c r="AO170" s="38" t="s">
        <v>389</v>
      </c>
      <c r="AP170" s="38" t="s">
        <v>410</v>
      </c>
      <c r="AQ170" s="29" t="s">
        <v>425</v>
      </c>
      <c r="AS170" s="37">
        <f>AM170+AN170</f>
        <v>0</v>
      </c>
      <c r="AT170" s="37">
        <f>G170/(100-AU170)*100</f>
        <v>0</v>
      </c>
      <c r="AU170" s="37">
        <v>0</v>
      </c>
      <c r="AV170" s="37">
        <f>L170</f>
        <v>0</v>
      </c>
    </row>
    <row r="171" spans="4:6" ht="12.75">
      <c r="D171" s="17" t="s">
        <v>295</v>
      </c>
      <c r="F171" s="88">
        <v>76.2</v>
      </c>
    </row>
    <row r="172" spans="4:6" ht="12.75">
      <c r="D172" s="17" t="s">
        <v>219</v>
      </c>
      <c r="F172" s="88">
        <v>7.55</v>
      </c>
    </row>
    <row r="173" spans="1:48" ht="12.75">
      <c r="A173" s="5" t="s">
        <v>71</v>
      </c>
      <c r="B173" s="5" t="s">
        <v>9</v>
      </c>
      <c r="C173" s="5" t="s">
        <v>160</v>
      </c>
      <c r="D173" s="5" t="s">
        <v>220</v>
      </c>
      <c r="E173" s="5" t="s">
        <v>353</v>
      </c>
      <c r="F173" s="86">
        <v>1</v>
      </c>
      <c r="G173" s="21">
        <v>0</v>
      </c>
      <c r="H173" s="21">
        <f>F173*AE173</f>
        <v>0</v>
      </c>
      <c r="I173" s="21">
        <f>J173-H173</f>
        <v>0</v>
      </c>
      <c r="J173" s="21">
        <f>F173*G173</f>
        <v>0</v>
      </c>
      <c r="K173" s="21">
        <v>0.01356</v>
      </c>
      <c r="L173" s="21">
        <f>F173*K173</f>
        <v>0.01356</v>
      </c>
      <c r="M173" s="33" t="s">
        <v>376</v>
      </c>
      <c r="P173" s="37">
        <f>IF(AG173="5",J173,0)</f>
        <v>0</v>
      </c>
      <c r="R173" s="37">
        <f>IF(AG173="1",H173,0)</f>
        <v>0</v>
      </c>
      <c r="S173" s="37">
        <f>IF(AG173="1",I173,0)</f>
        <v>0</v>
      </c>
      <c r="T173" s="37">
        <f>IF(AG173="7",H173,0)</f>
        <v>0</v>
      </c>
      <c r="U173" s="37">
        <f>IF(AG173="7",I173,0)</f>
        <v>0</v>
      </c>
      <c r="V173" s="37">
        <f>IF(AG173="2",H173,0)</f>
        <v>0</v>
      </c>
      <c r="W173" s="37">
        <f>IF(AG173="2",I173,0)</f>
        <v>0</v>
      </c>
      <c r="X173" s="37">
        <f>IF(AG173="0",J173,0)</f>
        <v>0</v>
      </c>
      <c r="Y173" s="29" t="s">
        <v>9</v>
      </c>
      <c r="Z173" s="21">
        <f>IF(AD173=0,J173,0)</f>
        <v>0</v>
      </c>
      <c r="AA173" s="21">
        <f>IF(AD173=15,J173,0)</f>
        <v>0</v>
      </c>
      <c r="AB173" s="21">
        <f>IF(AD173=21,J173,0)</f>
        <v>0</v>
      </c>
      <c r="AD173" s="37">
        <v>21</v>
      </c>
      <c r="AE173" s="37">
        <f>G173*0.196893790149893</f>
        <v>0</v>
      </c>
      <c r="AF173" s="37">
        <f>G173*(1-0.196893790149893)</f>
        <v>0</v>
      </c>
      <c r="AG173" s="33" t="s">
        <v>7</v>
      </c>
      <c r="AM173" s="37">
        <f>F173*AE173</f>
        <v>0</v>
      </c>
      <c r="AN173" s="37">
        <f>F173*AF173</f>
        <v>0</v>
      </c>
      <c r="AO173" s="38" t="s">
        <v>389</v>
      </c>
      <c r="AP173" s="38" t="s">
        <v>410</v>
      </c>
      <c r="AQ173" s="29" t="s">
        <v>425</v>
      </c>
      <c r="AS173" s="37">
        <f>AM173+AN173</f>
        <v>0</v>
      </c>
      <c r="AT173" s="37">
        <f>G173/(100-AU173)*100</f>
        <v>0</v>
      </c>
      <c r="AU173" s="37">
        <v>0</v>
      </c>
      <c r="AV173" s="37">
        <f>L173</f>
        <v>0.01356</v>
      </c>
    </row>
    <row r="174" spans="4:6" ht="12.75">
      <c r="D174" s="17" t="s">
        <v>7</v>
      </c>
      <c r="F174" s="88">
        <v>1</v>
      </c>
    </row>
    <row r="175" spans="1:48" ht="12.75">
      <c r="A175" s="5" t="s">
        <v>72</v>
      </c>
      <c r="B175" s="5" t="s">
        <v>9</v>
      </c>
      <c r="C175" s="5" t="s">
        <v>161</v>
      </c>
      <c r="D175" s="5" t="s">
        <v>221</v>
      </c>
      <c r="E175" s="5" t="s">
        <v>350</v>
      </c>
      <c r="F175" s="86">
        <v>17.6</v>
      </c>
      <c r="G175" s="21">
        <v>0</v>
      </c>
      <c r="H175" s="21">
        <f>F175*AE175</f>
        <v>0</v>
      </c>
      <c r="I175" s="21">
        <f>J175-H175</f>
        <v>0</v>
      </c>
      <c r="J175" s="21">
        <f>F175*G175</f>
        <v>0</v>
      </c>
      <c r="K175" s="21">
        <v>0.01493</v>
      </c>
      <c r="L175" s="21">
        <f>F175*K175</f>
        <v>0.26276800000000006</v>
      </c>
      <c r="M175" s="33" t="s">
        <v>376</v>
      </c>
      <c r="P175" s="37">
        <f>IF(AG175="5",J175,0)</f>
        <v>0</v>
      </c>
      <c r="R175" s="37">
        <f>IF(AG175="1",H175,0)</f>
        <v>0</v>
      </c>
      <c r="S175" s="37">
        <f>IF(AG175="1",I175,0)</f>
        <v>0</v>
      </c>
      <c r="T175" s="37">
        <f>IF(AG175="7",H175,0)</f>
        <v>0</v>
      </c>
      <c r="U175" s="37">
        <f>IF(AG175="7",I175,0)</f>
        <v>0</v>
      </c>
      <c r="V175" s="37">
        <f>IF(AG175="2",H175,0)</f>
        <v>0</v>
      </c>
      <c r="W175" s="37">
        <f>IF(AG175="2",I175,0)</f>
        <v>0</v>
      </c>
      <c r="X175" s="37">
        <f>IF(AG175="0",J175,0)</f>
        <v>0</v>
      </c>
      <c r="Y175" s="29" t="s">
        <v>9</v>
      </c>
      <c r="Z175" s="21">
        <f>IF(AD175=0,J175,0)</f>
        <v>0</v>
      </c>
      <c r="AA175" s="21">
        <f>IF(AD175=15,J175,0)</f>
        <v>0</v>
      </c>
      <c r="AB175" s="21">
        <f>IF(AD175=21,J175,0)</f>
        <v>0</v>
      </c>
      <c r="AD175" s="37">
        <v>21</v>
      </c>
      <c r="AE175" s="37">
        <f>G175*0.664319018404908</f>
        <v>0</v>
      </c>
      <c r="AF175" s="37">
        <f>G175*(1-0.664319018404908)</f>
        <v>0</v>
      </c>
      <c r="AG175" s="33" t="s">
        <v>7</v>
      </c>
      <c r="AM175" s="37">
        <f>F175*AE175</f>
        <v>0</v>
      </c>
      <c r="AN175" s="37">
        <f>F175*AF175</f>
        <v>0</v>
      </c>
      <c r="AO175" s="38" t="s">
        <v>389</v>
      </c>
      <c r="AP175" s="38" t="s">
        <v>410</v>
      </c>
      <c r="AQ175" s="29" t="s">
        <v>425</v>
      </c>
      <c r="AS175" s="37">
        <f>AM175+AN175</f>
        <v>0</v>
      </c>
      <c r="AT175" s="37">
        <f>G175/(100-AU175)*100</f>
        <v>0</v>
      </c>
      <c r="AU175" s="37">
        <v>0</v>
      </c>
      <c r="AV175" s="37">
        <f>L175</f>
        <v>0.26276800000000006</v>
      </c>
    </row>
    <row r="176" spans="4:6" ht="12.75">
      <c r="D176" s="17" t="s">
        <v>296</v>
      </c>
      <c r="F176" s="88">
        <v>17.6</v>
      </c>
    </row>
    <row r="177" spans="1:37" ht="12.75">
      <c r="A177" s="4"/>
      <c r="B177" s="14" t="s">
        <v>9</v>
      </c>
      <c r="C177" s="14" t="s">
        <v>162</v>
      </c>
      <c r="D177" s="14" t="s">
        <v>223</v>
      </c>
      <c r="E177" s="4" t="s">
        <v>6</v>
      </c>
      <c r="F177" s="4" t="s">
        <v>6</v>
      </c>
      <c r="G177" s="4" t="s">
        <v>6</v>
      </c>
      <c r="H177" s="40">
        <f>SUM(H178:H180)</f>
        <v>0</v>
      </c>
      <c r="I177" s="40">
        <f>SUM(I178:I180)</f>
        <v>0</v>
      </c>
      <c r="J177" s="40">
        <f>H177+I177</f>
        <v>0</v>
      </c>
      <c r="K177" s="29"/>
      <c r="L177" s="40">
        <f>SUM(L178:L180)</f>
        <v>0.12895199999999998</v>
      </c>
      <c r="M177" s="29"/>
      <c r="Y177" s="29" t="s">
        <v>9</v>
      </c>
      <c r="AI177" s="40">
        <f>SUM(Z178:Z180)</f>
        <v>0</v>
      </c>
      <c r="AJ177" s="40">
        <f>SUM(AA178:AA180)</f>
        <v>0</v>
      </c>
      <c r="AK177" s="40">
        <f>SUM(AB178:AB180)</f>
        <v>0</v>
      </c>
    </row>
    <row r="178" spans="1:48" ht="12.75">
      <c r="A178" s="5" t="s">
        <v>73</v>
      </c>
      <c r="B178" s="5" t="s">
        <v>9</v>
      </c>
      <c r="C178" s="5" t="s">
        <v>163</v>
      </c>
      <c r="D178" s="5" t="s">
        <v>224</v>
      </c>
      <c r="E178" s="5" t="s">
        <v>350</v>
      </c>
      <c r="F178" s="86">
        <v>21.6</v>
      </c>
      <c r="G178" s="21">
        <v>0</v>
      </c>
      <c r="H178" s="21">
        <f>F178*AE178</f>
        <v>0</v>
      </c>
      <c r="I178" s="21">
        <f>J178-H178</f>
        <v>0</v>
      </c>
      <c r="J178" s="21">
        <f>F178*G178</f>
        <v>0</v>
      </c>
      <c r="K178" s="21">
        <v>0.00181</v>
      </c>
      <c r="L178" s="21">
        <f>F178*K178</f>
        <v>0.039096</v>
      </c>
      <c r="M178" s="33" t="s">
        <v>376</v>
      </c>
      <c r="P178" s="37">
        <f>IF(AG178="5",J178,0)</f>
        <v>0</v>
      </c>
      <c r="R178" s="37">
        <f>IF(AG178="1",H178,0)</f>
        <v>0</v>
      </c>
      <c r="S178" s="37">
        <f>IF(AG178="1",I178,0)</f>
        <v>0</v>
      </c>
      <c r="T178" s="37">
        <f>IF(AG178="7",H178,0)</f>
        <v>0</v>
      </c>
      <c r="U178" s="37">
        <f>IF(AG178="7",I178,0)</f>
        <v>0</v>
      </c>
      <c r="V178" s="37">
        <f>IF(AG178="2",H178,0)</f>
        <v>0</v>
      </c>
      <c r="W178" s="37">
        <f>IF(AG178="2",I178,0)</f>
        <v>0</v>
      </c>
      <c r="X178" s="37">
        <f>IF(AG178="0",J178,0)</f>
        <v>0</v>
      </c>
      <c r="Y178" s="29" t="s">
        <v>9</v>
      </c>
      <c r="Z178" s="21">
        <f>IF(AD178=0,J178,0)</f>
        <v>0</v>
      </c>
      <c r="AA178" s="21">
        <f>IF(AD178=15,J178,0)</f>
        <v>0</v>
      </c>
      <c r="AB178" s="21">
        <f>IF(AD178=21,J178,0)</f>
        <v>0</v>
      </c>
      <c r="AD178" s="37">
        <v>21</v>
      </c>
      <c r="AE178" s="37">
        <f>G178*0</f>
        <v>0</v>
      </c>
      <c r="AF178" s="37">
        <f>G178*(1-0)</f>
        <v>0</v>
      </c>
      <c r="AG178" s="33" t="s">
        <v>13</v>
      </c>
      <c r="AM178" s="37">
        <f>F178*AE178</f>
        <v>0</v>
      </c>
      <c r="AN178" s="37">
        <f>F178*AF178</f>
        <v>0</v>
      </c>
      <c r="AO178" s="38" t="s">
        <v>390</v>
      </c>
      <c r="AP178" s="38" t="s">
        <v>411</v>
      </c>
      <c r="AQ178" s="29" t="s">
        <v>425</v>
      </c>
      <c r="AS178" s="37">
        <f>AM178+AN178</f>
        <v>0</v>
      </c>
      <c r="AT178" s="37">
        <f>G178/(100-AU178)*100</f>
        <v>0</v>
      </c>
      <c r="AU178" s="37">
        <v>0</v>
      </c>
      <c r="AV178" s="37">
        <f>L178</f>
        <v>0.039096</v>
      </c>
    </row>
    <row r="179" spans="4:6" ht="12.75">
      <c r="D179" s="17" t="s">
        <v>297</v>
      </c>
      <c r="F179" s="88">
        <v>21.6</v>
      </c>
    </row>
    <row r="180" spans="1:48" ht="12.75">
      <c r="A180" s="5" t="s">
        <v>74</v>
      </c>
      <c r="B180" s="5" t="s">
        <v>9</v>
      </c>
      <c r="C180" s="5" t="s">
        <v>164</v>
      </c>
      <c r="D180" s="5" t="s">
        <v>226</v>
      </c>
      <c r="E180" s="5" t="s">
        <v>350</v>
      </c>
      <c r="F180" s="86">
        <v>21.6</v>
      </c>
      <c r="G180" s="21">
        <v>0</v>
      </c>
      <c r="H180" s="21">
        <f>F180*AE180</f>
        <v>0</v>
      </c>
      <c r="I180" s="21">
        <f>J180-H180</f>
        <v>0</v>
      </c>
      <c r="J180" s="21">
        <f>F180*G180</f>
        <v>0</v>
      </c>
      <c r="K180" s="21">
        <v>0.00416</v>
      </c>
      <c r="L180" s="21">
        <f>F180*K180</f>
        <v>0.08985599999999999</v>
      </c>
      <c r="M180" s="33" t="s">
        <v>376</v>
      </c>
      <c r="P180" s="37">
        <f>IF(AG180="5",J180,0)</f>
        <v>0</v>
      </c>
      <c r="R180" s="37">
        <f>IF(AG180="1",H180,0)</f>
        <v>0</v>
      </c>
      <c r="S180" s="37">
        <f>IF(AG180="1",I180,0)</f>
        <v>0</v>
      </c>
      <c r="T180" s="37">
        <f>IF(AG180="7",H180,0)</f>
        <v>0</v>
      </c>
      <c r="U180" s="37">
        <f>IF(AG180="7",I180,0)</f>
        <v>0</v>
      </c>
      <c r="V180" s="37">
        <f>IF(AG180="2",H180,0)</f>
        <v>0</v>
      </c>
      <c r="W180" s="37">
        <f>IF(AG180="2",I180,0)</f>
        <v>0</v>
      </c>
      <c r="X180" s="37">
        <f>IF(AG180="0",J180,0)</f>
        <v>0</v>
      </c>
      <c r="Y180" s="29" t="s">
        <v>9</v>
      </c>
      <c r="Z180" s="21">
        <f>IF(AD180=0,J180,0)</f>
        <v>0</v>
      </c>
      <c r="AA180" s="21">
        <f>IF(AD180=15,J180,0)</f>
        <v>0</v>
      </c>
      <c r="AB180" s="21">
        <f>IF(AD180=21,J180,0)</f>
        <v>0</v>
      </c>
      <c r="AD180" s="37">
        <v>21</v>
      </c>
      <c r="AE180" s="37">
        <f>G180*0.59133982553529</f>
        <v>0</v>
      </c>
      <c r="AF180" s="37">
        <f>G180*(1-0.59133982553529)</f>
        <v>0</v>
      </c>
      <c r="AG180" s="33" t="s">
        <v>13</v>
      </c>
      <c r="AM180" s="37">
        <f>F180*AE180</f>
        <v>0</v>
      </c>
      <c r="AN180" s="37">
        <f>F180*AF180</f>
        <v>0</v>
      </c>
      <c r="AO180" s="38" t="s">
        <v>390</v>
      </c>
      <c r="AP180" s="38" t="s">
        <v>411</v>
      </c>
      <c r="AQ180" s="29" t="s">
        <v>425</v>
      </c>
      <c r="AS180" s="37">
        <f>AM180+AN180</f>
        <v>0</v>
      </c>
      <c r="AT180" s="37">
        <f>G180/(100-AU180)*100</f>
        <v>0</v>
      </c>
      <c r="AU180" s="37">
        <v>0</v>
      </c>
      <c r="AV180" s="37">
        <f>L180</f>
        <v>0.08985599999999999</v>
      </c>
    </row>
    <row r="181" spans="4:6" ht="12.75">
      <c r="D181" s="17" t="s">
        <v>297</v>
      </c>
      <c r="F181" s="88">
        <v>21.6</v>
      </c>
    </row>
    <row r="182" spans="1:37" ht="12.75">
      <c r="A182" s="4"/>
      <c r="B182" s="14" t="s">
        <v>9</v>
      </c>
      <c r="C182" s="14" t="s">
        <v>165</v>
      </c>
      <c r="D182" s="14" t="s">
        <v>227</v>
      </c>
      <c r="E182" s="4" t="s">
        <v>6</v>
      </c>
      <c r="F182" s="4" t="s">
        <v>6</v>
      </c>
      <c r="G182" s="4" t="s">
        <v>6</v>
      </c>
      <c r="H182" s="40">
        <f>SUM(H183:H193)</f>
        <v>0</v>
      </c>
      <c r="I182" s="40">
        <f>SUM(I183:I193)</f>
        <v>0</v>
      </c>
      <c r="J182" s="40">
        <f>H182+I182</f>
        <v>0</v>
      </c>
      <c r="K182" s="29"/>
      <c r="L182" s="40">
        <f>SUM(L183:L193)</f>
        <v>1.1735200000000001</v>
      </c>
      <c r="M182" s="29"/>
      <c r="Y182" s="29" t="s">
        <v>9</v>
      </c>
      <c r="AI182" s="40">
        <f>SUM(Z183:Z193)</f>
        <v>0</v>
      </c>
      <c r="AJ182" s="40">
        <f>SUM(AA183:AA193)</f>
        <v>0</v>
      </c>
      <c r="AK182" s="40">
        <f>SUM(AB183:AB193)</f>
        <v>0</v>
      </c>
    </row>
    <row r="183" spans="1:48" ht="12.75">
      <c r="A183" s="5" t="s">
        <v>75</v>
      </c>
      <c r="B183" s="5" t="s">
        <v>9</v>
      </c>
      <c r="C183" s="5" t="s">
        <v>166</v>
      </c>
      <c r="D183" s="5" t="s">
        <v>229</v>
      </c>
      <c r="E183" s="5" t="s">
        <v>354</v>
      </c>
      <c r="F183" s="86">
        <v>1</v>
      </c>
      <c r="G183" s="21">
        <v>0</v>
      </c>
      <c r="H183" s="21">
        <f>F183*AE183</f>
        <v>0</v>
      </c>
      <c r="I183" s="21">
        <f>J183-H183</f>
        <v>0</v>
      </c>
      <c r="J183" s="21">
        <f>F183*G183</f>
        <v>0</v>
      </c>
      <c r="K183" s="21">
        <v>0.15</v>
      </c>
      <c r="L183" s="21">
        <f>F183*K183</f>
        <v>0.15</v>
      </c>
      <c r="M183" s="33"/>
      <c r="P183" s="37">
        <f>IF(AG183="5",J183,0)</f>
        <v>0</v>
      </c>
      <c r="R183" s="37">
        <f>IF(AG183="1",H183,0)</f>
        <v>0</v>
      </c>
      <c r="S183" s="37">
        <f>IF(AG183="1",I183,0)</f>
        <v>0</v>
      </c>
      <c r="T183" s="37">
        <f>IF(AG183="7",H183,0)</f>
        <v>0</v>
      </c>
      <c r="U183" s="37">
        <f>IF(AG183="7",I183,0)</f>
        <v>0</v>
      </c>
      <c r="V183" s="37">
        <f>IF(AG183="2",H183,0)</f>
        <v>0</v>
      </c>
      <c r="W183" s="37">
        <f>IF(AG183="2",I183,0)</f>
        <v>0</v>
      </c>
      <c r="X183" s="37">
        <f>IF(AG183="0",J183,0)</f>
        <v>0</v>
      </c>
      <c r="Y183" s="29" t="s">
        <v>9</v>
      </c>
      <c r="Z183" s="21">
        <f>IF(AD183=0,J183,0)</f>
        <v>0</v>
      </c>
      <c r="AA183" s="21">
        <f>IF(AD183=15,J183,0)</f>
        <v>0</v>
      </c>
      <c r="AB183" s="21">
        <f>IF(AD183=21,J183,0)</f>
        <v>0</v>
      </c>
      <c r="AD183" s="37">
        <v>21</v>
      </c>
      <c r="AE183" s="37">
        <f>G183*0</f>
        <v>0</v>
      </c>
      <c r="AF183" s="37">
        <f>G183*(1-0)</f>
        <v>0</v>
      </c>
      <c r="AG183" s="33" t="s">
        <v>13</v>
      </c>
      <c r="AM183" s="37">
        <f>F183*AE183</f>
        <v>0</v>
      </c>
      <c r="AN183" s="37">
        <f>F183*AF183</f>
        <v>0</v>
      </c>
      <c r="AO183" s="38" t="s">
        <v>391</v>
      </c>
      <c r="AP183" s="38" t="s">
        <v>411</v>
      </c>
      <c r="AQ183" s="29" t="s">
        <v>425</v>
      </c>
      <c r="AS183" s="37">
        <f>AM183+AN183</f>
        <v>0</v>
      </c>
      <c r="AT183" s="37">
        <f>G183/(100-AU183)*100</f>
        <v>0</v>
      </c>
      <c r="AU183" s="37">
        <v>0</v>
      </c>
      <c r="AV183" s="37">
        <f>L183</f>
        <v>0.15</v>
      </c>
    </row>
    <row r="184" spans="4:6" ht="12.75">
      <c r="D184" s="17" t="s">
        <v>7</v>
      </c>
      <c r="F184" s="88">
        <v>1</v>
      </c>
    </row>
    <row r="185" spans="1:48" ht="12.75">
      <c r="A185" s="5" t="s">
        <v>76</v>
      </c>
      <c r="B185" s="5" t="s">
        <v>9</v>
      </c>
      <c r="C185" s="5" t="s">
        <v>167</v>
      </c>
      <c r="D185" s="5" t="s">
        <v>230</v>
      </c>
      <c r="E185" s="5" t="s">
        <v>355</v>
      </c>
      <c r="F185" s="86">
        <v>8</v>
      </c>
      <c r="G185" s="21">
        <v>0</v>
      </c>
      <c r="H185" s="21">
        <f>F185*AE185</f>
        <v>0</v>
      </c>
      <c r="I185" s="21">
        <f>J185-H185</f>
        <v>0</v>
      </c>
      <c r="J185" s="21">
        <f>F185*G185</f>
        <v>0</v>
      </c>
      <c r="K185" s="21">
        <v>0.08</v>
      </c>
      <c r="L185" s="21">
        <f>F185*K185</f>
        <v>0.64</v>
      </c>
      <c r="M185" s="33"/>
      <c r="P185" s="37">
        <f>IF(AG185="5",J185,0)</f>
        <v>0</v>
      </c>
      <c r="R185" s="37">
        <f>IF(AG185="1",H185,0)</f>
        <v>0</v>
      </c>
      <c r="S185" s="37">
        <f>IF(AG185="1",I185,0)</f>
        <v>0</v>
      </c>
      <c r="T185" s="37">
        <f>IF(AG185="7",H185,0)</f>
        <v>0</v>
      </c>
      <c r="U185" s="37">
        <f>IF(AG185="7",I185,0)</f>
        <v>0</v>
      </c>
      <c r="V185" s="37">
        <f>IF(AG185="2",H185,0)</f>
        <v>0</v>
      </c>
      <c r="W185" s="37">
        <f>IF(AG185="2",I185,0)</f>
        <v>0</v>
      </c>
      <c r="X185" s="37">
        <f>IF(AG185="0",J185,0)</f>
        <v>0</v>
      </c>
      <c r="Y185" s="29" t="s">
        <v>9</v>
      </c>
      <c r="Z185" s="21">
        <f>IF(AD185=0,J185,0)</f>
        <v>0</v>
      </c>
      <c r="AA185" s="21">
        <f>IF(AD185=15,J185,0)</f>
        <v>0</v>
      </c>
      <c r="AB185" s="21">
        <f>IF(AD185=21,J185,0)</f>
        <v>0</v>
      </c>
      <c r="AD185" s="37">
        <v>21</v>
      </c>
      <c r="AE185" s="37">
        <f>G185*0</f>
        <v>0</v>
      </c>
      <c r="AF185" s="37">
        <f>G185*(1-0)</f>
        <v>0</v>
      </c>
      <c r="AG185" s="33" t="s">
        <v>13</v>
      </c>
      <c r="AM185" s="37">
        <f>F185*AE185</f>
        <v>0</v>
      </c>
      <c r="AN185" s="37">
        <f>F185*AF185</f>
        <v>0</v>
      </c>
      <c r="AO185" s="38" t="s">
        <v>391</v>
      </c>
      <c r="AP185" s="38" t="s">
        <v>411</v>
      </c>
      <c r="AQ185" s="29" t="s">
        <v>425</v>
      </c>
      <c r="AS185" s="37">
        <f>AM185+AN185</f>
        <v>0</v>
      </c>
      <c r="AT185" s="37">
        <f>G185/(100-AU185)*100</f>
        <v>0</v>
      </c>
      <c r="AU185" s="37">
        <v>0</v>
      </c>
      <c r="AV185" s="37">
        <f>L185</f>
        <v>0.64</v>
      </c>
    </row>
    <row r="186" spans="4:6" ht="12.75">
      <c r="D186" s="17" t="s">
        <v>14</v>
      </c>
      <c r="F186" s="88">
        <v>8</v>
      </c>
    </row>
    <row r="187" spans="1:48" ht="12.75">
      <c r="A187" s="5" t="s">
        <v>77</v>
      </c>
      <c r="B187" s="5" t="s">
        <v>9</v>
      </c>
      <c r="C187" s="5" t="s">
        <v>167</v>
      </c>
      <c r="D187" s="5" t="s">
        <v>298</v>
      </c>
      <c r="E187" s="5" t="s">
        <v>355</v>
      </c>
      <c r="F187" s="86">
        <v>3</v>
      </c>
      <c r="G187" s="21">
        <v>0</v>
      </c>
      <c r="H187" s="21">
        <f>F187*AE187</f>
        <v>0</v>
      </c>
      <c r="I187" s="21">
        <f>J187-H187</f>
        <v>0</v>
      </c>
      <c r="J187" s="21">
        <f>F187*G187</f>
        <v>0</v>
      </c>
      <c r="K187" s="21">
        <v>0.075</v>
      </c>
      <c r="L187" s="21">
        <f>F187*K187</f>
        <v>0.22499999999999998</v>
      </c>
      <c r="M187" s="33"/>
      <c r="P187" s="37">
        <f>IF(AG187="5",J187,0)</f>
        <v>0</v>
      </c>
      <c r="R187" s="37">
        <f>IF(AG187="1",H187,0)</f>
        <v>0</v>
      </c>
      <c r="S187" s="37">
        <f>IF(AG187="1",I187,0)</f>
        <v>0</v>
      </c>
      <c r="T187" s="37">
        <f>IF(AG187="7",H187,0)</f>
        <v>0</v>
      </c>
      <c r="U187" s="37">
        <f>IF(AG187="7",I187,0)</f>
        <v>0</v>
      </c>
      <c r="V187" s="37">
        <f>IF(AG187="2",H187,0)</f>
        <v>0</v>
      </c>
      <c r="W187" s="37">
        <f>IF(AG187="2",I187,0)</f>
        <v>0</v>
      </c>
      <c r="X187" s="37">
        <f>IF(AG187="0",J187,0)</f>
        <v>0</v>
      </c>
      <c r="Y187" s="29" t="s">
        <v>9</v>
      </c>
      <c r="Z187" s="21">
        <f>IF(AD187=0,J187,0)</f>
        <v>0</v>
      </c>
      <c r="AA187" s="21">
        <f>IF(AD187=15,J187,0)</f>
        <v>0</v>
      </c>
      <c r="AB187" s="21">
        <f>IF(AD187=21,J187,0)</f>
        <v>0</v>
      </c>
      <c r="AD187" s="37">
        <v>21</v>
      </c>
      <c r="AE187" s="37">
        <f>G187*0</f>
        <v>0</v>
      </c>
      <c r="AF187" s="37">
        <f>G187*(1-0)</f>
        <v>0</v>
      </c>
      <c r="AG187" s="33" t="s">
        <v>13</v>
      </c>
      <c r="AM187" s="37">
        <f>F187*AE187</f>
        <v>0</v>
      </c>
      <c r="AN187" s="37">
        <f>F187*AF187</f>
        <v>0</v>
      </c>
      <c r="AO187" s="38" t="s">
        <v>391</v>
      </c>
      <c r="AP187" s="38" t="s">
        <v>411</v>
      </c>
      <c r="AQ187" s="29" t="s">
        <v>425</v>
      </c>
      <c r="AS187" s="37">
        <f>AM187+AN187</f>
        <v>0</v>
      </c>
      <c r="AT187" s="37">
        <f>G187/(100-AU187)*100</f>
        <v>0</v>
      </c>
      <c r="AU187" s="37">
        <v>0</v>
      </c>
      <c r="AV187" s="37">
        <f>L187</f>
        <v>0.22499999999999998</v>
      </c>
    </row>
    <row r="188" spans="4:6" ht="12.75">
      <c r="D188" s="17" t="s">
        <v>9</v>
      </c>
      <c r="F188" s="88">
        <v>3</v>
      </c>
    </row>
    <row r="189" spans="1:48" ht="12.75">
      <c r="A189" s="5" t="s">
        <v>78</v>
      </c>
      <c r="B189" s="5" t="s">
        <v>9</v>
      </c>
      <c r="C189" s="5" t="s">
        <v>168</v>
      </c>
      <c r="D189" s="5" t="s">
        <v>232</v>
      </c>
      <c r="E189" s="5" t="s">
        <v>353</v>
      </c>
      <c r="F189" s="86">
        <v>2</v>
      </c>
      <c r="G189" s="21">
        <v>0</v>
      </c>
      <c r="H189" s="21">
        <f>F189*AE189</f>
        <v>0</v>
      </c>
      <c r="I189" s="21">
        <f>J189-H189</f>
        <v>0</v>
      </c>
      <c r="J189" s="21">
        <f>F189*G189</f>
        <v>0</v>
      </c>
      <c r="K189" s="21">
        <v>0.004</v>
      </c>
      <c r="L189" s="21">
        <f>F189*K189</f>
        <v>0.008</v>
      </c>
      <c r="M189" s="33" t="s">
        <v>376</v>
      </c>
      <c r="P189" s="37">
        <f>IF(AG189="5",J189,0)</f>
        <v>0</v>
      </c>
      <c r="R189" s="37">
        <f>IF(AG189="1",H189,0)</f>
        <v>0</v>
      </c>
      <c r="S189" s="37">
        <f>IF(AG189="1",I189,0)</f>
        <v>0</v>
      </c>
      <c r="T189" s="37">
        <f>IF(AG189="7",H189,0)</f>
        <v>0</v>
      </c>
      <c r="U189" s="37">
        <f>IF(AG189="7",I189,0)</f>
        <v>0</v>
      </c>
      <c r="V189" s="37">
        <f>IF(AG189="2",H189,0)</f>
        <v>0</v>
      </c>
      <c r="W189" s="37">
        <f>IF(AG189="2",I189,0)</f>
        <v>0</v>
      </c>
      <c r="X189" s="37">
        <f>IF(AG189="0",J189,0)</f>
        <v>0</v>
      </c>
      <c r="Y189" s="29" t="s">
        <v>9</v>
      </c>
      <c r="Z189" s="21">
        <f>IF(AD189=0,J189,0)</f>
        <v>0</v>
      </c>
      <c r="AA189" s="21">
        <f>IF(AD189=15,J189,0)</f>
        <v>0</v>
      </c>
      <c r="AB189" s="21">
        <f>IF(AD189=21,J189,0)</f>
        <v>0</v>
      </c>
      <c r="AD189" s="37">
        <v>21</v>
      </c>
      <c r="AE189" s="37">
        <f>G189*0</f>
        <v>0</v>
      </c>
      <c r="AF189" s="37">
        <f>G189*(1-0)</f>
        <v>0</v>
      </c>
      <c r="AG189" s="33" t="s">
        <v>13</v>
      </c>
      <c r="AM189" s="37">
        <f>F189*AE189</f>
        <v>0</v>
      </c>
      <c r="AN189" s="37">
        <f>F189*AF189</f>
        <v>0</v>
      </c>
      <c r="AO189" s="38" t="s">
        <v>391</v>
      </c>
      <c r="AP189" s="38" t="s">
        <v>411</v>
      </c>
      <c r="AQ189" s="29" t="s">
        <v>425</v>
      </c>
      <c r="AS189" s="37">
        <f>AM189+AN189</f>
        <v>0</v>
      </c>
      <c r="AT189" s="37">
        <f>G189/(100-AU189)*100</f>
        <v>0</v>
      </c>
      <c r="AU189" s="37">
        <v>0</v>
      </c>
      <c r="AV189" s="37">
        <f>L189</f>
        <v>0.008</v>
      </c>
    </row>
    <row r="190" spans="4:6" ht="12.75">
      <c r="D190" s="17" t="s">
        <v>8</v>
      </c>
      <c r="F190" s="88">
        <v>2</v>
      </c>
    </row>
    <row r="191" spans="1:48" ht="12.75">
      <c r="A191" s="5" t="s">
        <v>79</v>
      </c>
      <c r="B191" s="5" t="s">
        <v>9</v>
      </c>
      <c r="C191" s="5" t="s">
        <v>169</v>
      </c>
      <c r="D191" s="5" t="s">
        <v>233</v>
      </c>
      <c r="E191" s="5" t="s">
        <v>353</v>
      </c>
      <c r="F191" s="86">
        <v>2</v>
      </c>
      <c r="G191" s="21">
        <v>0</v>
      </c>
      <c r="H191" s="21">
        <f>F191*AE191</f>
        <v>0</v>
      </c>
      <c r="I191" s="21">
        <f>J191-H191</f>
        <v>0</v>
      </c>
      <c r="J191" s="21">
        <f>F191*G191</f>
        <v>0</v>
      </c>
      <c r="K191" s="21">
        <v>0.00026</v>
      </c>
      <c r="L191" s="21">
        <f>F191*K191</f>
        <v>0.00052</v>
      </c>
      <c r="M191" s="33" t="s">
        <v>376</v>
      </c>
      <c r="P191" s="37">
        <f>IF(AG191="5",J191,0)</f>
        <v>0</v>
      </c>
      <c r="R191" s="37">
        <f>IF(AG191="1",H191,0)</f>
        <v>0</v>
      </c>
      <c r="S191" s="37">
        <f>IF(AG191="1",I191,0)</f>
        <v>0</v>
      </c>
      <c r="T191" s="37">
        <f>IF(AG191="7",H191,0)</f>
        <v>0</v>
      </c>
      <c r="U191" s="37">
        <f>IF(AG191="7",I191,0)</f>
        <v>0</v>
      </c>
      <c r="V191" s="37">
        <f>IF(AG191="2",H191,0)</f>
        <v>0</v>
      </c>
      <c r="W191" s="37">
        <f>IF(AG191="2",I191,0)</f>
        <v>0</v>
      </c>
      <c r="X191" s="37">
        <f>IF(AG191="0",J191,0)</f>
        <v>0</v>
      </c>
      <c r="Y191" s="29" t="s">
        <v>9</v>
      </c>
      <c r="Z191" s="21">
        <f>IF(AD191=0,J191,0)</f>
        <v>0</v>
      </c>
      <c r="AA191" s="21">
        <f>IF(AD191=15,J191,0)</f>
        <v>0</v>
      </c>
      <c r="AB191" s="21">
        <f>IF(AD191=21,J191,0)</f>
        <v>0</v>
      </c>
      <c r="AD191" s="37">
        <v>21</v>
      </c>
      <c r="AE191" s="37">
        <f>G191*0</f>
        <v>0</v>
      </c>
      <c r="AF191" s="37">
        <f>G191*(1-0)</f>
        <v>0</v>
      </c>
      <c r="AG191" s="33" t="s">
        <v>13</v>
      </c>
      <c r="AM191" s="37">
        <f>F191*AE191</f>
        <v>0</v>
      </c>
      <c r="AN191" s="37">
        <f>F191*AF191</f>
        <v>0</v>
      </c>
      <c r="AO191" s="38" t="s">
        <v>391</v>
      </c>
      <c r="AP191" s="38" t="s">
        <v>411</v>
      </c>
      <c r="AQ191" s="29" t="s">
        <v>425</v>
      </c>
      <c r="AS191" s="37">
        <f>AM191+AN191</f>
        <v>0</v>
      </c>
      <c r="AT191" s="37">
        <f>G191/(100-AU191)*100</f>
        <v>0</v>
      </c>
      <c r="AU191" s="37">
        <v>0</v>
      </c>
      <c r="AV191" s="37">
        <f>L191</f>
        <v>0.00052</v>
      </c>
    </row>
    <row r="192" spans="4:6" ht="12.75">
      <c r="D192" s="17" t="s">
        <v>8</v>
      </c>
      <c r="F192" s="88">
        <v>2</v>
      </c>
    </row>
    <row r="193" spans="1:48" ht="12.75">
      <c r="A193" s="5" t="s">
        <v>80</v>
      </c>
      <c r="B193" s="5" t="s">
        <v>9</v>
      </c>
      <c r="C193" s="5" t="s">
        <v>166</v>
      </c>
      <c r="D193" s="5" t="s">
        <v>299</v>
      </c>
      <c r="E193" s="5" t="s">
        <v>354</v>
      </c>
      <c r="F193" s="86">
        <v>1</v>
      </c>
      <c r="G193" s="21">
        <v>0</v>
      </c>
      <c r="H193" s="21">
        <f>F193*AE193</f>
        <v>0</v>
      </c>
      <c r="I193" s="21">
        <f>J193-H193</f>
        <v>0</v>
      </c>
      <c r="J193" s="21">
        <f>F193*G193</f>
        <v>0</v>
      </c>
      <c r="K193" s="21">
        <v>0.15</v>
      </c>
      <c r="L193" s="21">
        <f>F193*K193</f>
        <v>0.15</v>
      </c>
      <c r="M193" s="33"/>
      <c r="P193" s="37">
        <f>IF(AG193="5",J193,0)</f>
        <v>0</v>
      </c>
      <c r="R193" s="37">
        <f>IF(AG193="1",H193,0)</f>
        <v>0</v>
      </c>
      <c r="S193" s="37">
        <f>IF(AG193="1",I193,0)</f>
        <v>0</v>
      </c>
      <c r="T193" s="37">
        <f>IF(AG193="7",H193,0)</f>
        <v>0</v>
      </c>
      <c r="U193" s="37">
        <f>IF(AG193="7",I193,0)</f>
        <v>0</v>
      </c>
      <c r="V193" s="37">
        <f>IF(AG193="2",H193,0)</f>
        <v>0</v>
      </c>
      <c r="W193" s="37">
        <f>IF(AG193="2",I193,0)</f>
        <v>0</v>
      </c>
      <c r="X193" s="37">
        <f>IF(AG193="0",J193,0)</f>
        <v>0</v>
      </c>
      <c r="Y193" s="29" t="s">
        <v>9</v>
      </c>
      <c r="Z193" s="21">
        <f>IF(AD193=0,J193,0)</f>
        <v>0</v>
      </c>
      <c r="AA193" s="21">
        <f>IF(AD193=15,J193,0)</f>
        <v>0</v>
      </c>
      <c r="AB193" s="21">
        <f>IF(AD193=21,J193,0)</f>
        <v>0</v>
      </c>
      <c r="AD193" s="37">
        <v>21</v>
      </c>
      <c r="AE193" s="37">
        <f>G193*0</f>
        <v>0</v>
      </c>
      <c r="AF193" s="37">
        <f>G193*(1-0)</f>
        <v>0</v>
      </c>
      <c r="AG193" s="33" t="s">
        <v>13</v>
      </c>
      <c r="AM193" s="37">
        <f>F193*AE193</f>
        <v>0</v>
      </c>
      <c r="AN193" s="37">
        <f>F193*AF193</f>
        <v>0</v>
      </c>
      <c r="AO193" s="38" t="s">
        <v>391</v>
      </c>
      <c r="AP193" s="38" t="s">
        <v>411</v>
      </c>
      <c r="AQ193" s="29" t="s">
        <v>425</v>
      </c>
      <c r="AS193" s="37">
        <f>AM193+AN193</f>
        <v>0</v>
      </c>
      <c r="AT193" s="37">
        <f>G193/(100-AU193)*100</f>
        <v>0</v>
      </c>
      <c r="AU193" s="37">
        <v>0</v>
      </c>
      <c r="AV193" s="37">
        <f>L193</f>
        <v>0.15</v>
      </c>
    </row>
    <row r="194" spans="4:6" ht="12.75">
      <c r="D194" s="17" t="s">
        <v>7</v>
      </c>
      <c r="F194" s="88">
        <v>1</v>
      </c>
    </row>
    <row r="195" spans="1:37" ht="12.75">
      <c r="A195" s="4"/>
      <c r="B195" s="14" t="s">
        <v>9</v>
      </c>
      <c r="C195" s="14" t="s">
        <v>170</v>
      </c>
      <c r="D195" s="14" t="s">
        <v>234</v>
      </c>
      <c r="E195" s="4" t="s">
        <v>6</v>
      </c>
      <c r="F195" s="4" t="s">
        <v>6</v>
      </c>
      <c r="G195" s="4" t="s">
        <v>6</v>
      </c>
      <c r="H195" s="40">
        <f>SUM(H196:H198)</f>
        <v>0</v>
      </c>
      <c r="I195" s="40">
        <f>SUM(I196:I198)</f>
        <v>0</v>
      </c>
      <c r="J195" s="40">
        <f>H195+I195</f>
        <v>0</v>
      </c>
      <c r="K195" s="29"/>
      <c r="L195" s="40">
        <f>SUM(L196:L198)</f>
        <v>0.011179999999999999</v>
      </c>
      <c r="M195" s="29"/>
      <c r="Y195" s="29" t="s">
        <v>9</v>
      </c>
      <c r="AI195" s="40">
        <f>SUM(Z196:Z198)</f>
        <v>0</v>
      </c>
      <c r="AJ195" s="40">
        <f>SUM(AA196:AA198)</f>
        <v>0</v>
      </c>
      <c r="AK195" s="40">
        <f>SUM(AB196:AB198)</f>
        <v>0</v>
      </c>
    </row>
    <row r="196" spans="1:48" ht="12.75">
      <c r="A196" s="5" t="s">
        <v>81</v>
      </c>
      <c r="B196" s="5" t="s">
        <v>9</v>
      </c>
      <c r="C196" s="5" t="s">
        <v>171</v>
      </c>
      <c r="D196" s="5" t="s">
        <v>235</v>
      </c>
      <c r="E196" s="5" t="s">
        <v>353</v>
      </c>
      <c r="F196" s="86">
        <v>2</v>
      </c>
      <c r="G196" s="21">
        <v>0</v>
      </c>
      <c r="H196" s="21">
        <f>F196*AE196</f>
        <v>0</v>
      </c>
      <c r="I196" s="21">
        <f>J196-H196</f>
        <v>0</v>
      </c>
      <c r="J196" s="21">
        <f>F196*G196</f>
        <v>0</v>
      </c>
      <c r="K196" s="21">
        <v>1E-05</v>
      </c>
      <c r="L196" s="21">
        <f>F196*K196</f>
        <v>2E-05</v>
      </c>
      <c r="M196" s="33" t="s">
        <v>376</v>
      </c>
      <c r="P196" s="37">
        <f>IF(AG196="5",J196,0)</f>
        <v>0</v>
      </c>
      <c r="R196" s="37">
        <f>IF(AG196="1",H196,0)</f>
        <v>0</v>
      </c>
      <c r="S196" s="37">
        <f>IF(AG196="1",I196,0)</f>
        <v>0</v>
      </c>
      <c r="T196" s="37">
        <f>IF(AG196="7",H196,0)</f>
        <v>0</v>
      </c>
      <c r="U196" s="37">
        <f>IF(AG196="7",I196,0)</f>
        <v>0</v>
      </c>
      <c r="V196" s="37">
        <f>IF(AG196="2",H196,0)</f>
        <v>0</v>
      </c>
      <c r="W196" s="37">
        <f>IF(AG196="2",I196,0)</f>
        <v>0</v>
      </c>
      <c r="X196" s="37">
        <f>IF(AG196="0",J196,0)</f>
        <v>0</v>
      </c>
      <c r="Y196" s="29" t="s">
        <v>9</v>
      </c>
      <c r="Z196" s="21">
        <f>IF(AD196=0,J196,0)</f>
        <v>0</v>
      </c>
      <c r="AA196" s="21">
        <f>IF(AD196=15,J196,0)</f>
        <v>0</v>
      </c>
      <c r="AB196" s="21">
        <f>IF(AD196=21,J196,0)</f>
        <v>0</v>
      </c>
      <c r="AD196" s="37">
        <v>21</v>
      </c>
      <c r="AE196" s="37">
        <f>G196*0.0166980609418283</f>
        <v>0</v>
      </c>
      <c r="AF196" s="37">
        <f>G196*(1-0.0166980609418283)</f>
        <v>0</v>
      </c>
      <c r="AG196" s="33" t="s">
        <v>13</v>
      </c>
      <c r="AM196" s="37">
        <f>F196*AE196</f>
        <v>0</v>
      </c>
      <c r="AN196" s="37">
        <f>F196*AF196</f>
        <v>0</v>
      </c>
      <c r="AO196" s="38" t="s">
        <v>392</v>
      </c>
      <c r="AP196" s="38" t="s">
        <v>411</v>
      </c>
      <c r="AQ196" s="29" t="s">
        <v>425</v>
      </c>
      <c r="AS196" s="37">
        <f>AM196+AN196</f>
        <v>0</v>
      </c>
      <c r="AT196" s="37">
        <f>G196/(100-AU196)*100</f>
        <v>0</v>
      </c>
      <c r="AU196" s="37">
        <v>0</v>
      </c>
      <c r="AV196" s="37">
        <f>L196</f>
        <v>2E-05</v>
      </c>
    </row>
    <row r="197" spans="4:6" ht="12.75">
      <c r="D197" s="17" t="s">
        <v>8</v>
      </c>
      <c r="F197" s="88">
        <v>2</v>
      </c>
    </row>
    <row r="198" spans="1:48" ht="12.75">
      <c r="A198" s="6" t="s">
        <v>82</v>
      </c>
      <c r="B198" s="6" t="s">
        <v>9</v>
      </c>
      <c r="C198" s="6" t="s">
        <v>172</v>
      </c>
      <c r="D198" s="6" t="s">
        <v>236</v>
      </c>
      <c r="E198" s="6" t="s">
        <v>353</v>
      </c>
      <c r="F198" s="87">
        <v>2</v>
      </c>
      <c r="G198" s="22">
        <v>0</v>
      </c>
      <c r="H198" s="22">
        <f>F198*AE198</f>
        <v>0</v>
      </c>
      <c r="I198" s="22">
        <f>J198-H198</f>
        <v>0</v>
      </c>
      <c r="J198" s="22">
        <f>F198*G198</f>
        <v>0</v>
      </c>
      <c r="K198" s="22">
        <v>0.00558</v>
      </c>
      <c r="L198" s="22">
        <f>F198*K198</f>
        <v>0.01116</v>
      </c>
      <c r="M198" s="34" t="s">
        <v>376</v>
      </c>
      <c r="P198" s="37">
        <f>IF(AG198="5",J198,0)</f>
        <v>0</v>
      </c>
      <c r="R198" s="37">
        <f>IF(AG198="1",H198,0)</f>
        <v>0</v>
      </c>
      <c r="S198" s="37">
        <f>IF(AG198="1",I198,0)</f>
        <v>0</v>
      </c>
      <c r="T198" s="37">
        <f>IF(AG198="7",H198,0)</f>
        <v>0</v>
      </c>
      <c r="U198" s="37">
        <f>IF(AG198="7",I198,0)</f>
        <v>0</v>
      </c>
      <c r="V198" s="37">
        <f>IF(AG198="2",H198,0)</f>
        <v>0</v>
      </c>
      <c r="W198" s="37">
        <f>IF(AG198="2",I198,0)</f>
        <v>0</v>
      </c>
      <c r="X198" s="37">
        <f>IF(AG198="0",J198,0)</f>
        <v>0</v>
      </c>
      <c r="Y198" s="29" t="s">
        <v>9</v>
      </c>
      <c r="Z198" s="22">
        <f>IF(AD198=0,J198,0)</f>
        <v>0</v>
      </c>
      <c r="AA198" s="22">
        <f>IF(AD198=15,J198,0)</f>
        <v>0</v>
      </c>
      <c r="AB198" s="22">
        <f>IF(AD198=21,J198,0)</f>
        <v>0</v>
      </c>
      <c r="AD198" s="37">
        <v>21</v>
      </c>
      <c r="AE198" s="37">
        <f>G198*1</f>
        <v>0</v>
      </c>
      <c r="AF198" s="37">
        <f>G198*(1-1)</f>
        <v>0</v>
      </c>
      <c r="AG198" s="34" t="s">
        <v>13</v>
      </c>
      <c r="AM198" s="37">
        <f>F198*AE198</f>
        <v>0</v>
      </c>
      <c r="AN198" s="37">
        <f>F198*AF198</f>
        <v>0</v>
      </c>
      <c r="AO198" s="38" t="s">
        <v>392</v>
      </c>
      <c r="AP198" s="38" t="s">
        <v>411</v>
      </c>
      <c r="AQ198" s="29" t="s">
        <v>425</v>
      </c>
      <c r="AS198" s="37">
        <f>AM198+AN198</f>
        <v>0</v>
      </c>
      <c r="AT198" s="37">
        <f>G198/(100-AU198)*100</f>
        <v>0</v>
      </c>
      <c r="AU198" s="37">
        <v>0</v>
      </c>
      <c r="AV198" s="37">
        <f>L198</f>
        <v>0.01116</v>
      </c>
    </row>
    <row r="199" spans="4:6" ht="12.75">
      <c r="D199" s="17" t="s">
        <v>8</v>
      </c>
      <c r="F199" s="88">
        <v>2</v>
      </c>
    </row>
    <row r="200" spans="1:37" ht="12.75">
      <c r="A200" s="4"/>
      <c r="B200" s="14" t="s">
        <v>9</v>
      </c>
      <c r="C200" s="14" t="s">
        <v>173</v>
      </c>
      <c r="D200" s="14" t="s">
        <v>237</v>
      </c>
      <c r="E200" s="4" t="s">
        <v>6</v>
      </c>
      <c r="F200" s="4" t="s">
        <v>6</v>
      </c>
      <c r="G200" s="4" t="s">
        <v>6</v>
      </c>
      <c r="H200" s="40">
        <f>SUM(H201:H203)</f>
        <v>0</v>
      </c>
      <c r="I200" s="40">
        <f>SUM(I201:I203)</f>
        <v>0</v>
      </c>
      <c r="J200" s="40">
        <f>H200+I200</f>
        <v>0</v>
      </c>
      <c r="K200" s="29"/>
      <c r="L200" s="40">
        <f>SUM(L201:L203)</f>
        <v>0.019371000000000003</v>
      </c>
      <c r="M200" s="29"/>
      <c r="Y200" s="29" t="s">
        <v>9</v>
      </c>
      <c r="AI200" s="40">
        <f>SUM(Z201:Z203)</f>
        <v>0</v>
      </c>
      <c r="AJ200" s="40">
        <f>SUM(AA201:AA203)</f>
        <v>0</v>
      </c>
      <c r="AK200" s="40">
        <f>SUM(AB201:AB203)</f>
        <v>0</v>
      </c>
    </row>
    <row r="201" spans="1:48" ht="12.75">
      <c r="A201" s="5" t="s">
        <v>83</v>
      </c>
      <c r="B201" s="5" t="s">
        <v>9</v>
      </c>
      <c r="C201" s="5" t="s">
        <v>174</v>
      </c>
      <c r="D201" s="5" t="s">
        <v>238</v>
      </c>
      <c r="E201" s="5" t="s">
        <v>351</v>
      </c>
      <c r="F201" s="86">
        <v>29.35</v>
      </c>
      <c r="G201" s="21">
        <v>0</v>
      </c>
      <c r="H201" s="21">
        <f>F201*AE201</f>
        <v>0</v>
      </c>
      <c r="I201" s="21">
        <f>J201-H201</f>
        <v>0</v>
      </c>
      <c r="J201" s="21">
        <f>F201*G201</f>
        <v>0</v>
      </c>
      <c r="K201" s="21">
        <v>0.00018</v>
      </c>
      <c r="L201" s="21">
        <f>F201*K201</f>
        <v>0.005283</v>
      </c>
      <c r="M201" s="33" t="s">
        <v>376</v>
      </c>
      <c r="P201" s="37">
        <f>IF(AG201="5",J201,0)</f>
        <v>0</v>
      </c>
      <c r="R201" s="37">
        <f>IF(AG201="1",H201,0)</f>
        <v>0</v>
      </c>
      <c r="S201" s="37">
        <f>IF(AG201="1",I201,0)</f>
        <v>0</v>
      </c>
      <c r="T201" s="37">
        <f>IF(AG201="7",H201,0)</f>
        <v>0</v>
      </c>
      <c r="U201" s="37">
        <f>IF(AG201="7",I201,0)</f>
        <v>0</v>
      </c>
      <c r="V201" s="37">
        <f>IF(AG201="2",H201,0)</f>
        <v>0</v>
      </c>
      <c r="W201" s="37">
        <f>IF(AG201="2",I201,0)</f>
        <v>0</v>
      </c>
      <c r="X201" s="37">
        <f>IF(AG201="0",J201,0)</f>
        <v>0</v>
      </c>
      <c r="Y201" s="29" t="s">
        <v>9</v>
      </c>
      <c r="Z201" s="21">
        <f>IF(AD201=0,J201,0)</f>
        <v>0</v>
      </c>
      <c r="AA201" s="21">
        <f>IF(AD201=15,J201,0)</f>
        <v>0</v>
      </c>
      <c r="AB201" s="21">
        <f>IF(AD201=21,J201,0)</f>
        <v>0</v>
      </c>
      <c r="AD201" s="37">
        <v>21</v>
      </c>
      <c r="AE201" s="37">
        <f>G201*0.379531743341404</f>
        <v>0</v>
      </c>
      <c r="AF201" s="37">
        <f>G201*(1-0.379531743341404)</f>
        <v>0</v>
      </c>
      <c r="AG201" s="33" t="s">
        <v>13</v>
      </c>
      <c r="AM201" s="37">
        <f>F201*AE201</f>
        <v>0</v>
      </c>
      <c r="AN201" s="37">
        <f>F201*AF201</f>
        <v>0</v>
      </c>
      <c r="AO201" s="38" t="s">
        <v>393</v>
      </c>
      <c r="AP201" s="38" t="s">
        <v>412</v>
      </c>
      <c r="AQ201" s="29" t="s">
        <v>425</v>
      </c>
      <c r="AS201" s="37">
        <f>AM201+AN201</f>
        <v>0</v>
      </c>
      <c r="AT201" s="37">
        <f>G201/(100-AU201)*100</f>
        <v>0</v>
      </c>
      <c r="AU201" s="37">
        <v>0</v>
      </c>
      <c r="AV201" s="37">
        <f>L201</f>
        <v>0.005283</v>
      </c>
    </row>
    <row r="202" spans="4:6" ht="12.75">
      <c r="D202" s="17" t="s">
        <v>300</v>
      </c>
      <c r="F202" s="88">
        <v>29.35</v>
      </c>
    </row>
    <row r="203" spans="1:48" ht="12.75">
      <c r="A203" s="5" t="s">
        <v>84</v>
      </c>
      <c r="B203" s="5" t="s">
        <v>9</v>
      </c>
      <c r="C203" s="5" t="s">
        <v>175</v>
      </c>
      <c r="D203" s="5" t="s">
        <v>240</v>
      </c>
      <c r="E203" s="5" t="s">
        <v>351</v>
      </c>
      <c r="F203" s="86">
        <v>29.35</v>
      </c>
      <c r="G203" s="21">
        <v>0</v>
      </c>
      <c r="H203" s="21">
        <f>F203*AE203</f>
        <v>0</v>
      </c>
      <c r="I203" s="21">
        <f>J203-H203</f>
        <v>0</v>
      </c>
      <c r="J203" s="21">
        <f>F203*G203</f>
        <v>0</v>
      </c>
      <c r="K203" s="21">
        <v>0.00048</v>
      </c>
      <c r="L203" s="21">
        <f>F203*K203</f>
        <v>0.014088000000000002</v>
      </c>
      <c r="M203" s="33" t="s">
        <v>376</v>
      </c>
      <c r="P203" s="37">
        <f>IF(AG203="5",J203,0)</f>
        <v>0</v>
      </c>
      <c r="R203" s="37">
        <f>IF(AG203="1",H203,0)</f>
        <v>0</v>
      </c>
      <c r="S203" s="37">
        <f>IF(AG203="1",I203,0)</f>
        <v>0</v>
      </c>
      <c r="T203" s="37">
        <f>IF(AG203="7",H203,0)</f>
        <v>0</v>
      </c>
      <c r="U203" s="37">
        <f>IF(AG203="7",I203,0)</f>
        <v>0</v>
      </c>
      <c r="V203" s="37">
        <f>IF(AG203="2",H203,0)</f>
        <v>0</v>
      </c>
      <c r="W203" s="37">
        <f>IF(AG203="2",I203,0)</f>
        <v>0</v>
      </c>
      <c r="X203" s="37">
        <f>IF(AG203="0",J203,0)</f>
        <v>0</v>
      </c>
      <c r="Y203" s="29" t="s">
        <v>9</v>
      </c>
      <c r="Z203" s="21">
        <f>IF(AD203=0,J203,0)</f>
        <v>0</v>
      </c>
      <c r="AA203" s="21">
        <f>IF(AD203=15,J203,0)</f>
        <v>0</v>
      </c>
      <c r="AB203" s="21">
        <f>IF(AD203=21,J203,0)</f>
        <v>0</v>
      </c>
      <c r="AD203" s="37">
        <v>21</v>
      </c>
      <c r="AE203" s="37">
        <f>G203*0.339702580645161</f>
        <v>0</v>
      </c>
      <c r="AF203" s="37">
        <f>G203*(1-0.339702580645161)</f>
        <v>0</v>
      </c>
      <c r="AG203" s="33" t="s">
        <v>13</v>
      </c>
      <c r="AM203" s="37">
        <f>F203*AE203</f>
        <v>0</v>
      </c>
      <c r="AN203" s="37">
        <f>F203*AF203</f>
        <v>0</v>
      </c>
      <c r="AO203" s="38" t="s">
        <v>393</v>
      </c>
      <c r="AP203" s="38" t="s">
        <v>412</v>
      </c>
      <c r="AQ203" s="29" t="s">
        <v>425</v>
      </c>
      <c r="AS203" s="37">
        <f>AM203+AN203</f>
        <v>0</v>
      </c>
      <c r="AT203" s="37">
        <f>G203/(100-AU203)*100</f>
        <v>0</v>
      </c>
      <c r="AU203" s="37">
        <v>0</v>
      </c>
      <c r="AV203" s="37">
        <f>L203</f>
        <v>0.014088000000000002</v>
      </c>
    </row>
    <row r="204" spans="4:6" ht="12.75">
      <c r="D204" s="17" t="s">
        <v>300</v>
      </c>
      <c r="F204" s="88">
        <v>29.35</v>
      </c>
    </row>
    <row r="205" spans="1:37" ht="12.75">
      <c r="A205" s="4"/>
      <c r="B205" s="14" t="s">
        <v>9</v>
      </c>
      <c r="C205" s="14" t="s">
        <v>176</v>
      </c>
      <c r="D205" s="14" t="s">
        <v>241</v>
      </c>
      <c r="E205" s="4" t="s">
        <v>6</v>
      </c>
      <c r="F205" s="4" t="s">
        <v>6</v>
      </c>
      <c r="G205" s="4" t="s">
        <v>6</v>
      </c>
      <c r="H205" s="40">
        <f>SUM(H206:H208)</f>
        <v>0</v>
      </c>
      <c r="I205" s="40">
        <f>SUM(I206:I208)</f>
        <v>0</v>
      </c>
      <c r="J205" s="40">
        <f>H205+I205</f>
        <v>0</v>
      </c>
      <c r="K205" s="29"/>
      <c r="L205" s="40">
        <f>SUM(L206:L208)</f>
        <v>0.017976</v>
      </c>
      <c r="M205" s="29"/>
      <c r="Y205" s="29" t="s">
        <v>9</v>
      </c>
      <c r="AI205" s="40">
        <f>SUM(Z206:Z208)</f>
        <v>0</v>
      </c>
      <c r="AJ205" s="40">
        <f>SUM(AA206:AA208)</f>
        <v>0</v>
      </c>
      <c r="AK205" s="40">
        <f>SUM(AB206:AB208)</f>
        <v>0</v>
      </c>
    </row>
    <row r="206" spans="1:48" ht="12.75">
      <c r="A206" s="5" t="s">
        <v>85</v>
      </c>
      <c r="B206" s="5" t="s">
        <v>9</v>
      </c>
      <c r="C206" s="5" t="s">
        <v>177</v>
      </c>
      <c r="D206" s="5" t="s">
        <v>242</v>
      </c>
      <c r="E206" s="5" t="s">
        <v>351</v>
      </c>
      <c r="F206" s="86">
        <v>23.92</v>
      </c>
      <c r="G206" s="21">
        <v>0</v>
      </c>
      <c r="H206" s="21">
        <f>F206*AE206</f>
        <v>0</v>
      </c>
      <c r="I206" s="21">
        <f>J206-H206</f>
        <v>0</v>
      </c>
      <c r="J206" s="21">
        <f>F206*G206</f>
        <v>0</v>
      </c>
      <c r="K206" s="21">
        <v>0.0003</v>
      </c>
      <c r="L206" s="21">
        <f>F206*K206</f>
        <v>0.007176</v>
      </c>
      <c r="M206" s="33" t="s">
        <v>376</v>
      </c>
      <c r="P206" s="37">
        <f>IF(AG206="5",J206,0)</f>
        <v>0</v>
      </c>
      <c r="R206" s="37">
        <f>IF(AG206="1",H206,0)</f>
        <v>0</v>
      </c>
      <c r="S206" s="37">
        <f>IF(AG206="1",I206,0)</f>
        <v>0</v>
      </c>
      <c r="T206" s="37">
        <f>IF(AG206="7",H206,0)</f>
        <v>0</v>
      </c>
      <c r="U206" s="37">
        <f>IF(AG206="7",I206,0)</f>
        <v>0</v>
      </c>
      <c r="V206" s="37">
        <f>IF(AG206="2",H206,0)</f>
        <v>0</v>
      </c>
      <c r="W206" s="37">
        <f>IF(AG206="2",I206,0)</f>
        <v>0</v>
      </c>
      <c r="X206" s="37">
        <f>IF(AG206="0",J206,0)</f>
        <v>0</v>
      </c>
      <c r="Y206" s="29" t="s">
        <v>9</v>
      </c>
      <c r="Z206" s="21">
        <f>IF(AD206=0,J206,0)</f>
        <v>0</v>
      </c>
      <c r="AA206" s="21">
        <f>IF(AD206=15,J206,0)</f>
        <v>0</v>
      </c>
      <c r="AB206" s="21">
        <f>IF(AD206=21,J206,0)</f>
        <v>0</v>
      </c>
      <c r="AD206" s="37">
        <v>21</v>
      </c>
      <c r="AE206" s="37">
        <f>G206*0.607190719853278</f>
        <v>0</v>
      </c>
      <c r="AF206" s="37">
        <f>G206*(1-0.607190719853278)</f>
        <v>0</v>
      </c>
      <c r="AG206" s="33" t="s">
        <v>13</v>
      </c>
      <c r="AM206" s="37">
        <f>F206*AE206</f>
        <v>0</v>
      </c>
      <c r="AN206" s="37">
        <f>F206*AF206</f>
        <v>0</v>
      </c>
      <c r="AO206" s="38" t="s">
        <v>394</v>
      </c>
      <c r="AP206" s="38" t="s">
        <v>412</v>
      </c>
      <c r="AQ206" s="29" t="s">
        <v>425</v>
      </c>
      <c r="AS206" s="37">
        <f>AM206+AN206</f>
        <v>0</v>
      </c>
      <c r="AT206" s="37">
        <f>G206/(100-AU206)*100</f>
        <v>0</v>
      </c>
      <c r="AU206" s="37">
        <v>0</v>
      </c>
      <c r="AV206" s="37">
        <f>L206</f>
        <v>0.007176</v>
      </c>
    </row>
    <row r="207" spans="4:6" ht="12.75">
      <c r="D207" s="17" t="s">
        <v>301</v>
      </c>
      <c r="F207" s="88">
        <v>23.92</v>
      </c>
    </row>
    <row r="208" spans="1:48" ht="12.75">
      <c r="A208" s="6" t="s">
        <v>86</v>
      </c>
      <c r="B208" s="6" t="s">
        <v>9</v>
      </c>
      <c r="C208" s="6" t="s">
        <v>178</v>
      </c>
      <c r="D208" s="6" t="s">
        <v>244</v>
      </c>
      <c r="E208" s="6" t="s">
        <v>353</v>
      </c>
      <c r="F208" s="87">
        <v>8</v>
      </c>
      <c r="G208" s="22">
        <v>0</v>
      </c>
      <c r="H208" s="22">
        <f>F208*AE208</f>
        <v>0</v>
      </c>
      <c r="I208" s="22">
        <f>J208-H208</f>
        <v>0</v>
      </c>
      <c r="J208" s="22">
        <f>F208*G208</f>
        <v>0</v>
      </c>
      <c r="K208" s="22">
        <v>0.00135</v>
      </c>
      <c r="L208" s="22">
        <f>F208*K208</f>
        <v>0.0108</v>
      </c>
      <c r="M208" s="34" t="s">
        <v>376</v>
      </c>
      <c r="P208" s="37">
        <f>IF(AG208="5",J208,0)</f>
        <v>0</v>
      </c>
      <c r="R208" s="37">
        <f>IF(AG208="1",H208,0)</f>
        <v>0</v>
      </c>
      <c r="S208" s="37">
        <f>IF(AG208="1",I208,0)</f>
        <v>0</v>
      </c>
      <c r="T208" s="37">
        <f>IF(AG208="7",H208,0)</f>
        <v>0</v>
      </c>
      <c r="U208" s="37">
        <f>IF(AG208="7",I208,0)</f>
        <v>0</v>
      </c>
      <c r="V208" s="37">
        <f>IF(AG208="2",H208,0)</f>
        <v>0</v>
      </c>
      <c r="W208" s="37">
        <f>IF(AG208="2",I208,0)</f>
        <v>0</v>
      </c>
      <c r="X208" s="37">
        <f>IF(AG208="0",J208,0)</f>
        <v>0</v>
      </c>
      <c r="Y208" s="29" t="s">
        <v>9</v>
      </c>
      <c r="Z208" s="22">
        <f>IF(AD208=0,J208,0)</f>
        <v>0</v>
      </c>
      <c r="AA208" s="22">
        <f>IF(AD208=15,J208,0)</f>
        <v>0</v>
      </c>
      <c r="AB208" s="22">
        <f>IF(AD208=21,J208,0)</f>
        <v>0</v>
      </c>
      <c r="AD208" s="37">
        <v>21</v>
      </c>
      <c r="AE208" s="37">
        <f>G208*1</f>
        <v>0</v>
      </c>
      <c r="AF208" s="37">
        <f>G208*(1-1)</f>
        <v>0</v>
      </c>
      <c r="AG208" s="34" t="s">
        <v>13</v>
      </c>
      <c r="AM208" s="37">
        <f>F208*AE208</f>
        <v>0</v>
      </c>
      <c r="AN208" s="37">
        <f>F208*AF208</f>
        <v>0</v>
      </c>
      <c r="AO208" s="38" t="s">
        <v>394</v>
      </c>
      <c r="AP208" s="38" t="s">
        <v>412</v>
      </c>
      <c r="AQ208" s="29" t="s">
        <v>425</v>
      </c>
      <c r="AS208" s="37">
        <f>AM208+AN208</f>
        <v>0</v>
      </c>
      <c r="AT208" s="37">
        <f>G208/(100-AU208)*100</f>
        <v>0</v>
      </c>
      <c r="AU208" s="37">
        <v>0</v>
      </c>
      <c r="AV208" s="37">
        <f>L208</f>
        <v>0.0108</v>
      </c>
    </row>
    <row r="209" spans="4:6" ht="12.75">
      <c r="D209" s="17" t="s">
        <v>14</v>
      </c>
      <c r="F209" s="88">
        <v>8</v>
      </c>
    </row>
    <row r="210" spans="1:37" ht="12.75">
      <c r="A210" s="4"/>
      <c r="B210" s="14" t="s">
        <v>9</v>
      </c>
      <c r="C210" s="14" t="s">
        <v>102</v>
      </c>
      <c r="D210" s="14" t="s">
        <v>245</v>
      </c>
      <c r="E210" s="4" t="s">
        <v>6</v>
      </c>
      <c r="F210" s="4" t="s">
        <v>6</v>
      </c>
      <c r="G210" s="4" t="s">
        <v>6</v>
      </c>
      <c r="H210" s="40">
        <f>SUM(H211:H221)</f>
        <v>0</v>
      </c>
      <c r="I210" s="40">
        <f>SUM(I211:I221)</f>
        <v>0</v>
      </c>
      <c r="J210" s="40">
        <f>H210+I210</f>
        <v>0</v>
      </c>
      <c r="K210" s="29"/>
      <c r="L210" s="40">
        <f>SUM(L211:L221)</f>
        <v>3.1673033200000003</v>
      </c>
      <c r="M210" s="29"/>
      <c r="Y210" s="29" t="s">
        <v>9</v>
      </c>
      <c r="AI210" s="40">
        <f>SUM(Z211:Z221)</f>
        <v>0</v>
      </c>
      <c r="AJ210" s="40">
        <f>SUM(AA211:AA221)</f>
        <v>0</v>
      </c>
      <c r="AK210" s="40">
        <f>SUM(AB211:AB221)</f>
        <v>0</v>
      </c>
    </row>
    <row r="211" spans="1:48" ht="12.75">
      <c r="A211" s="5" t="s">
        <v>87</v>
      </c>
      <c r="B211" s="5" t="s">
        <v>9</v>
      </c>
      <c r="C211" s="5" t="s">
        <v>179</v>
      </c>
      <c r="D211" s="5" t="s">
        <v>246</v>
      </c>
      <c r="E211" s="5" t="s">
        <v>353</v>
      </c>
      <c r="F211" s="86">
        <v>72</v>
      </c>
      <c r="G211" s="21">
        <v>0</v>
      </c>
      <c r="H211" s="21">
        <f>F211*AE211</f>
        <v>0</v>
      </c>
      <c r="I211" s="21">
        <f>J211-H211</f>
        <v>0</v>
      </c>
      <c r="J211" s="21">
        <f>F211*G211</f>
        <v>0</v>
      </c>
      <c r="K211" s="21">
        <v>0</v>
      </c>
      <c r="L211" s="21">
        <f>F211*K211</f>
        <v>0</v>
      </c>
      <c r="M211" s="33" t="s">
        <v>376</v>
      </c>
      <c r="P211" s="37">
        <f>IF(AG211="5",J211,0)</f>
        <v>0</v>
      </c>
      <c r="R211" s="37">
        <f>IF(AG211="1",H211,0)</f>
        <v>0</v>
      </c>
      <c r="S211" s="37">
        <f>IF(AG211="1",I211,0)</f>
        <v>0</v>
      </c>
      <c r="T211" s="37">
        <f>IF(AG211="7",H211,0)</f>
        <v>0</v>
      </c>
      <c r="U211" s="37">
        <f>IF(AG211="7",I211,0)</f>
        <v>0</v>
      </c>
      <c r="V211" s="37">
        <f>IF(AG211="2",H211,0)</f>
        <v>0</v>
      </c>
      <c r="W211" s="37">
        <f>IF(AG211="2",I211,0)</f>
        <v>0</v>
      </c>
      <c r="X211" s="37">
        <f>IF(AG211="0",J211,0)</f>
        <v>0</v>
      </c>
      <c r="Y211" s="29" t="s">
        <v>9</v>
      </c>
      <c r="Z211" s="21">
        <f>IF(AD211=0,J211,0)</f>
        <v>0</v>
      </c>
      <c r="AA211" s="21">
        <f>IF(AD211=15,J211,0)</f>
        <v>0</v>
      </c>
      <c r="AB211" s="21">
        <f>IF(AD211=21,J211,0)</f>
        <v>0</v>
      </c>
      <c r="AD211" s="37">
        <v>21</v>
      </c>
      <c r="AE211" s="37">
        <f>G211*0</f>
        <v>0</v>
      </c>
      <c r="AF211" s="37">
        <f>G211*(1-0)</f>
        <v>0</v>
      </c>
      <c r="AG211" s="33" t="s">
        <v>7</v>
      </c>
      <c r="AM211" s="37">
        <f>F211*AE211</f>
        <v>0</v>
      </c>
      <c r="AN211" s="37">
        <f>F211*AF211</f>
        <v>0</v>
      </c>
      <c r="AO211" s="38" t="s">
        <v>395</v>
      </c>
      <c r="AP211" s="38" t="s">
        <v>413</v>
      </c>
      <c r="AQ211" s="29" t="s">
        <v>425</v>
      </c>
      <c r="AS211" s="37">
        <f>AM211+AN211</f>
        <v>0</v>
      </c>
      <c r="AT211" s="37">
        <f>G211/(100-AU211)*100</f>
        <v>0</v>
      </c>
      <c r="AU211" s="37">
        <v>0</v>
      </c>
      <c r="AV211" s="37">
        <f>L211</f>
        <v>0</v>
      </c>
    </row>
    <row r="212" spans="4:6" ht="12.75">
      <c r="D212" s="17" t="s">
        <v>302</v>
      </c>
      <c r="F212" s="88">
        <v>72</v>
      </c>
    </row>
    <row r="213" spans="1:48" ht="12.75">
      <c r="A213" s="5" t="s">
        <v>88</v>
      </c>
      <c r="B213" s="5" t="s">
        <v>9</v>
      </c>
      <c r="C213" s="5" t="s">
        <v>180</v>
      </c>
      <c r="D213" s="5" t="s">
        <v>248</v>
      </c>
      <c r="E213" s="5" t="s">
        <v>351</v>
      </c>
      <c r="F213" s="86">
        <v>28.896</v>
      </c>
      <c r="G213" s="21">
        <v>0</v>
      </c>
      <c r="H213" s="21">
        <f>F213*AE213</f>
        <v>0</v>
      </c>
      <c r="I213" s="21">
        <f>J213-H213</f>
        <v>0</v>
      </c>
      <c r="J213" s="21">
        <f>F213*G213</f>
        <v>0</v>
      </c>
      <c r="K213" s="21">
        <v>0.05492</v>
      </c>
      <c r="L213" s="21">
        <f>F213*K213</f>
        <v>1.58696832</v>
      </c>
      <c r="M213" s="33" t="s">
        <v>376</v>
      </c>
      <c r="P213" s="37">
        <f>IF(AG213="5",J213,0)</f>
        <v>0</v>
      </c>
      <c r="R213" s="37">
        <f>IF(AG213="1",H213,0)</f>
        <v>0</v>
      </c>
      <c r="S213" s="37">
        <f>IF(AG213="1",I213,0)</f>
        <v>0</v>
      </c>
      <c r="T213" s="37">
        <f>IF(AG213="7",H213,0)</f>
        <v>0</v>
      </c>
      <c r="U213" s="37">
        <f>IF(AG213="7",I213,0)</f>
        <v>0</v>
      </c>
      <c r="V213" s="37">
        <f>IF(AG213="2",H213,0)</f>
        <v>0</v>
      </c>
      <c r="W213" s="37">
        <f>IF(AG213="2",I213,0)</f>
        <v>0</v>
      </c>
      <c r="X213" s="37">
        <f>IF(AG213="0",J213,0)</f>
        <v>0</v>
      </c>
      <c r="Y213" s="29" t="s">
        <v>9</v>
      </c>
      <c r="Z213" s="21">
        <f>IF(AD213=0,J213,0)</f>
        <v>0</v>
      </c>
      <c r="AA213" s="21">
        <f>IF(AD213=15,J213,0)</f>
        <v>0</v>
      </c>
      <c r="AB213" s="21">
        <f>IF(AD213=21,J213,0)</f>
        <v>0</v>
      </c>
      <c r="AD213" s="37">
        <v>21</v>
      </c>
      <c r="AE213" s="37">
        <f>G213*0.136006060115247</f>
        <v>0</v>
      </c>
      <c r="AF213" s="37">
        <f>G213*(1-0.136006060115247)</f>
        <v>0</v>
      </c>
      <c r="AG213" s="33" t="s">
        <v>7</v>
      </c>
      <c r="AM213" s="37">
        <f>F213*AE213</f>
        <v>0</v>
      </c>
      <c r="AN213" s="37">
        <f>F213*AF213</f>
        <v>0</v>
      </c>
      <c r="AO213" s="38" t="s">
        <v>395</v>
      </c>
      <c r="AP213" s="38" t="s">
        <v>413</v>
      </c>
      <c r="AQ213" s="29" t="s">
        <v>425</v>
      </c>
      <c r="AS213" s="37">
        <f>AM213+AN213</f>
        <v>0</v>
      </c>
      <c r="AT213" s="37">
        <f>G213/(100-AU213)*100</f>
        <v>0</v>
      </c>
      <c r="AU213" s="37">
        <v>0</v>
      </c>
      <c r="AV213" s="37">
        <f>L213</f>
        <v>1.58696832</v>
      </c>
    </row>
    <row r="214" spans="4:6" ht="12.75">
      <c r="D214" s="17" t="s">
        <v>303</v>
      </c>
      <c r="F214" s="88">
        <v>28.896</v>
      </c>
    </row>
    <row r="215" spans="1:48" ht="12.75">
      <c r="A215" s="5" t="s">
        <v>89</v>
      </c>
      <c r="B215" s="5" t="s">
        <v>9</v>
      </c>
      <c r="C215" s="5" t="s">
        <v>181</v>
      </c>
      <c r="D215" s="5" t="s">
        <v>250</v>
      </c>
      <c r="E215" s="5" t="s">
        <v>351</v>
      </c>
      <c r="F215" s="86">
        <v>4.4225</v>
      </c>
      <c r="G215" s="21">
        <v>0</v>
      </c>
      <c r="H215" s="21">
        <f>F215*AE215</f>
        <v>0</v>
      </c>
      <c r="I215" s="21">
        <f>J215-H215</f>
        <v>0</v>
      </c>
      <c r="J215" s="21">
        <f>F215*G215</f>
        <v>0</v>
      </c>
      <c r="K215" s="21">
        <v>0.068</v>
      </c>
      <c r="L215" s="21">
        <f>F215*K215</f>
        <v>0.30073000000000005</v>
      </c>
      <c r="M215" s="33" t="s">
        <v>376</v>
      </c>
      <c r="P215" s="37">
        <f>IF(AG215="5",J215,0)</f>
        <v>0</v>
      </c>
      <c r="R215" s="37">
        <f>IF(AG215="1",H215,0)</f>
        <v>0</v>
      </c>
      <c r="S215" s="37">
        <f>IF(AG215="1",I215,0)</f>
        <v>0</v>
      </c>
      <c r="T215" s="37">
        <f>IF(AG215="7",H215,0)</f>
        <v>0</v>
      </c>
      <c r="U215" s="37">
        <f>IF(AG215="7",I215,0)</f>
        <v>0</v>
      </c>
      <c r="V215" s="37">
        <f>IF(AG215="2",H215,0)</f>
        <v>0</v>
      </c>
      <c r="W215" s="37">
        <f>IF(AG215="2",I215,0)</f>
        <v>0</v>
      </c>
      <c r="X215" s="37">
        <f>IF(AG215="0",J215,0)</f>
        <v>0</v>
      </c>
      <c r="Y215" s="29" t="s">
        <v>9</v>
      </c>
      <c r="Z215" s="21">
        <f>IF(AD215=0,J215,0)</f>
        <v>0</v>
      </c>
      <c r="AA215" s="21">
        <f>IF(AD215=15,J215,0)</f>
        <v>0</v>
      </c>
      <c r="AB215" s="21">
        <f>IF(AD215=21,J215,0)</f>
        <v>0</v>
      </c>
      <c r="AD215" s="37">
        <v>21</v>
      </c>
      <c r="AE215" s="37">
        <f>G215*0.130092766786034</f>
        <v>0</v>
      </c>
      <c r="AF215" s="37">
        <f>G215*(1-0.130092766786034)</f>
        <v>0</v>
      </c>
      <c r="AG215" s="33" t="s">
        <v>7</v>
      </c>
      <c r="AM215" s="37">
        <f>F215*AE215</f>
        <v>0</v>
      </c>
      <c r="AN215" s="37">
        <f>F215*AF215</f>
        <v>0</v>
      </c>
      <c r="AO215" s="38" t="s">
        <v>395</v>
      </c>
      <c r="AP215" s="38" t="s">
        <v>413</v>
      </c>
      <c r="AQ215" s="29" t="s">
        <v>425</v>
      </c>
      <c r="AS215" s="37">
        <f>AM215+AN215</f>
        <v>0</v>
      </c>
      <c r="AT215" s="37">
        <f>G215/(100-AU215)*100</f>
        <v>0</v>
      </c>
      <c r="AU215" s="37">
        <v>0</v>
      </c>
      <c r="AV215" s="37">
        <f>L215</f>
        <v>0.30073000000000005</v>
      </c>
    </row>
    <row r="216" spans="4:6" ht="12.75">
      <c r="D216" s="17" t="s">
        <v>304</v>
      </c>
      <c r="F216" s="88">
        <v>4.4225</v>
      </c>
    </row>
    <row r="217" spans="1:48" ht="12.75">
      <c r="A217" s="5" t="s">
        <v>90</v>
      </c>
      <c r="B217" s="5" t="s">
        <v>9</v>
      </c>
      <c r="C217" s="5" t="s">
        <v>182</v>
      </c>
      <c r="D217" s="5" t="s">
        <v>252</v>
      </c>
      <c r="E217" s="5" t="s">
        <v>353</v>
      </c>
      <c r="F217" s="86">
        <v>2</v>
      </c>
      <c r="G217" s="21">
        <v>0</v>
      </c>
      <c r="H217" s="21">
        <f>F217*AE217</f>
        <v>0</v>
      </c>
      <c r="I217" s="21">
        <f>J217-H217</f>
        <v>0</v>
      </c>
      <c r="J217" s="21">
        <f>F217*G217</f>
        <v>0</v>
      </c>
      <c r="K217" s="21">
        <v>0</v>
      </c>
      <c r="L217" s="21">
        <f>F217*K217</f>
        <v>0</v>
      </c>
      <c r="M217" s="33" t="s">
        <v>376</v>
      </c>
      <c r="P217" s="37">
        <f>IF(AG217="5",J217,0)</f>
        <v>0</v>
      </c>
      <c r="R217" s="37">
        <f>IF(AG217="1",H217,0)</f>
        <v>0</v>
      </c>
      <c r="S217" s="37">
        <f>IF(AG217="1",I217,0)</f>
        <v>0</v>
      </c>
      <c r="T217" s="37">
        <f>IF(AG217="7",H217,0)</f>
        <v>0</v>
      </c>
      <c r="U217" s="37">
        <f>IF(AG217="7",I217,0)</f>
        <v>0</v>
      </c>
      <c r="V217" s="37">
        <f>IF(AG217="2",H217,0)</f>
        <v>0</v>
      </c>
      <c r="W217" s="37">
        <f>IF(AG217="2",I217,0)</f>
        <v>0</v>
      </c>
      <c r="X217" s="37">
        <f>IF(AG217="0",J217,0)</f>
        <v>0</v>
      </c>
      <c r="Y217" s="29" t="s">
        <v>9</v>
      </c>
      <c r="Z217" s="21">
        <f>IF(AD217=0,J217,0)</f>
        <v>0</v>
      </c>
      <c r="AA217" s="21">
        <f>IF(AD217=15,J217,0)</f>
        <v>0</v>
      </c>
      <c r="AB217" s="21">
        <f>IF(AD217=21,J217,0)</f>
        <v>0</v>
      </c>
      <c r="AD217" s="37">
        <v>21</v>
      </c>
      <c r="AE217" s="37">
        <f>G217*0</f>
        <v>0</v>
      </c>
      <c r="AF217" s="37">
        <f>G217*(1-0)</f>
        <v>0</v>
      </c>
      <c r="AG217" s="33" t="s">
        <v>7</v>
      </c>
      <c r="AM217" s="37">
        <f>F217*AE217</f>
        <v>0</v>
      </c>
      <c r="AN217" s="37">
        <f>F217*AF217</f>
        <v>0</v>
      </c>
      <c r="AO217" s="38" t="s">
        <v>395</v>
      </c>
      <c r="AP217" s="38" t="s">
        <v>413</v>
      </c>
      <c r="AQ217" s="29" t="s">
        <v>425</v>
      </c>
      <c r="AS217" s="37">
        <f>AM217+AN217</f>
        <v>0</v>
      </c>
      <c r="AT217" s="37">
        <f>G217/(100-AU217)*100</f>
        <v>0</v>
      </c>
      <c r="AU217" s="37">
        <v>0</v>
      </c>
      <c r="AV217" s="37">
        <f>L217</f>
        <v>0</v>
      </c>
    </row>
    <row r="218" spans="4:6" ht="12.75">
      <c r="D218" s="17" t="s">
        <v>8</v>
      </c>
      <c r="F218" s="88">
        <v>2</v>
      </c>
    </row>
    <row r="219" spans="1:48" ht="12.75">
      <c r="A219" s="5" t="s">
        <v>91</v>
      </c>
      <c r="B219" s="5" t="s">
        <v>9</v>
      </c>
      <c r="C219" s="5" t="s">
        <v>183</v>
      </c>
      <c r="D219" s="5" t="s">
        <v>254</v>
      </c>
      <c r="E219" s="5" t="s">
        <v>351</v>
      </c>
      <c r="F219" s="86">
        <v>5.92</v>
      </c>
      <c r="G219" s="21">
        <v>0</v>
      </c>
      <c r="H219" s="21">
        <f>F219*AE219</f>
        <v>0</v>
      </c>
      <c r="I219" s="21">
        <f>J219-H219</f>
        <v>0</v>
      </c>
      <c r="J219" s="21">
        <f>F219*G219</f>
        <v>0</v>
      </c>
      <c r="K219" s="21">
        <v>0.004</v>
      </c>
      <c r="L219" s="21">
        <f>F219*K219</f>
        <v>0.02368</v>
      </c>
      <c r="M219" s="33" t="s">
        <v>376</v>
      </c>
      <c r="P219" s="37">
        <f>IF(AG219="5",J219,0)</f>
        <v>0</v>
      </c>
      <c r="R219" s="37">
        <f>IF(AG219="1",H219,0)</f>
        <v>0</v>
      </c>
      <c r="S219" s="37">
        <f>IF(AG219="1",I219,0)</f>
        <v>0</v>
      </c>
      <c r="T219" s="37">
        <f>IF(AG219="7",H219,0)</f>
        <v>0</v>
      </c>
      <c r="U219" s="37">
        <f>IF(AG219="7",I219,0)</f>
        <v>0</v>
      </c>
      <c r="V219" s="37">
        <f>IF(AG219="2",H219,0)</f>
        <v>0</v>
      </c>
      <c r="W219" s="37">
        <f>IF(AG219="2",I219,0)</f>
        <v>0</v>
      </c>
      <c r="X219" s="37">
        <f>IF(AG219="0",J219,0)</f>
        <v>0</v>
      </c>
      <c r="Y219" s="29" t="s">
        <v>9</v>
      </c>
      <c r="Z219" s="21">
        <f>IF(AD219=0,J219,0)</f>
        <v>0</v>
      </c>
      <c r="AA219" s="21">
        <f>IF(AD219=15,J219,0)</f>
        <v>0</v>
      </c>
      <c r="AB219" s="21">
        <f>IF(AD219=21,J219,0)</f>
        <v>0</v>
      </c>
      <c r="AD219" s="37">
        <v>21</v>
      </c>
      <c r="AE219" s="37">
        <f>G219*0</f>
        <v>0</v>
      </c>
      <c r="AF219" s="37">
        <f>G219*(1-0)</f>
        <v>0</v>
      </c>
      <c r="AG219" s="33" t="s">
        <v>7</v>
      </c>
      <c r="AM219" s="37">
        <f>F219*AE219</f>
        <v>0</v>
      </c>
      <c r="AN219" s="37">
        <f>F219*AF219</f>
        <v>0</v>
      </c>
      <c r="AO219" s="38" t="s">
        <v>395</v>
      </c>
      <c r="AP219" s="38" t="s">
        <v>413</v>
      </c>
      <c r="AQ219" s="29" t="s">
        <v>425</v>
      </c>
      <c r="AS219" s="37">
        <f>AM219+AN219</f>
        <v>0</v>
      </c>
      <c r="AT219" s="37">
        <f>G219/(100-AU219)*100</f>
        <v>0</v>
      </c>
      <c r="AU219" s="37">
        <v>0</v>
      </c>
      <c r="AV219" s="37">
        <f>L219</f>
        <v>0.02368</v>
      </c>
    </row>
    <row r="220" spans="4:6" ht="12.75">
      <c r="D220" s="17" t="s">
        <v>305</v>
      </c>
      <c r="F220" s="88">
        <v>5.92</v>
      </c>
    </row>
    <row r="221" spans="1:48" ht="12.75">
      <c r="A221" s="5" t="s">
        <v>92</v>
      </c>
      <c r="B221" s="5" t="s">
        <v>9</v>
      </c>
      <c r="C221" s="5" t="s">
        <v>184</v>
      </c>
      <c r="D221" s="5" t="s">
        <v>256</v>
      </c>
      <c r="E221" s="5" t="s">
        <v>351</v>
      </c>
      <c r="F221" s="86">
        <v>22.835</v>
      </c>
      <c r="G221" s="21">
        <v>0</v>
      </c>
      <c r="H221" s="21">
        <f>F221*AE221</f>
        <v>0</v>
      </c>
      <c r="I221" s="21">
        <f>J221-H221</f>
        <v>0</v>
      </c>
      <c r="J221" s="21">
        <f>F221*G221</f>
        <v>0</v>
      </c>
      <c r="K221" s="21">
        <v>0.055</v>
      </c>
      <c r="L221" s="21">
        <f>F221*K221</f>
        <v>1.255925</v>
      </c>
      <c r="M221" s="33" t="s">
        <v>376</v>
      </c>
      <c r="P221" s="37">
        <f>IF(AG221="5",J221,0)</f>
        <v>0</v>
      </c>
      <c r="R221" s="37">
        <f>IF(AG221="1",H221,0)</f>
        <v>0</v>
      </c>
      <c r="S221" s="37">
        <f>IF(AG221="1",I221,0)</f>
        <v>0</v>
      </c>
      <c r="T221" s="37">
        <f>IF(AG221="7",H221,0)</f>
        <v>0</v>
      </c>
      <c r="U221" s="37">
        <f>IF(AG221="7",I221,0)</f>
        <v>0</v>
      </c>
      <c r="V221" s="37">
        <f>IF(AG221="2",H221,0)</f>
        <v>0</v>
      </c>
      <c r="W221" s="37">
        <f>IF(AG221="2",I221,0)</f>
        <v>0</v>
      </c>
      <c r="X221" s="37">
        <f>IF(AG221="0",J221,0)</f>
        <v>0</v>
      </c>
      <c r="Y221" s="29" t="s">
        <v>9</v>
      </c>
      <c r="Z221" s="21">
        <f>IF(AD221=0,J221,0)</f>
        <v>0</v>
      </c>
      <c r="AA221" s="21">
        <f>IF(AD221=15,J221,0)</f>
        <v>0</v>
      </c>
      <c r="AB221" s="21">
        <f>IF(AD221=21,J221,0)</f>
        <v>0</v>
      </c>
      <c r="AD221" s="37">
        <v>21</v>
      </c>
      <c r="AE221" s="37">
        <f>G221*0</f>
        <v>0</v>
      </c>
      <c r="AF221" s="37">
        <f>G221*(1-0)</f>
        <v>0</v>
      </c>
      <c r="AG221" s="33" t="s">
        <v>7</v>
      </c>
      <c r="AM221" s="37">
        <f>F221*AE221</f>
        <v>0</v>
      </c>
      <c r="AN221" s="37">
        <f>F221*AF221</f>
        <v>0</v>
      </c>
      <c r="AO221" s="38" t="s">
        <v>395</v>
      </c>
      <c r="AP221" s="38" t="s">
        <v>413</v>
      </c>
      <c r="AQ221" s="29" t="s">
        <v>425</v>
      </c>
      <c r="AS221" s="37">
        <f>AM221+AN221</f>
        <v>0</v>
      </c>
      <c r="AT221" s="37">
        <f>G221/(100-AU221)*100</f>
        <v>0</v>
      </c>
      <c r="AU221" s="37">
        <v>0</v>
      </c>
      <c r="AV221" s="37">
        <f>L221</f>
        <v>1.255925</v>
      </c>
    </row>
    <row r="222" spans="4:6" ht="12.75">
      <c r="D222" s="17" t="s">
        <v>306</v>
      </c>
      <c r="F222" s="88">
        <v>22.835</v>
      </c>
    </row>
    <row r="223" spans="1:37" ht="12.75">
      <c r="A223" s="4"/>
      <c r="B223" s="14" t="s">
        <v>9</v>
      </c>
      <c r="C223" s="14" t="s">
        <v>185</v>
      </c>
      <c r="D223" s="14" t="s">
        <v>258</v>
      </c>
      <c r="E223" s="4" t="s">
        <v>6</v>
      </c>
      <c r="F223" s="4" t="s">
        <v>6</v>
      </c>
      <c r="G223" s="4" t="s">
        <v>6</v>
      </c>
      <c r="H223" s="40">
        <f>SUM(H224:H226)</f>
        <v>0</v>
      </c>
      <c r="I223" s="40">
        <f>SUM(I224:I226)</f>
        <v>0</v>
      </c>
      <c r="J223" s="40">
        <f>H223+I223</f>
        <v>0</v>
      </c>
      <c r="K223" s="29"/>
      <c r="L223" s="40">
        <f>SUM(L224:L226)</f>
        <v>0</v>
      </c>
      <c r="M223" s="29"/>
      <c r="Y223" s="29" t="s">
        <v>9</v>
      </c>
      <c r="AI223" s="40">
        <f>SUM(Z224:Z226)</f>
        <v>0</v>
      </c>
      <c r="AJ223" s="40">
        <f>SUM(AA224:AA226)</f>
        <v>0</v>
      </c>
      <c r="AK223" s="40">
        <f>SUM(AB224:AB226)</f>
        <v>0</v>
      </c>
    </row>
    <row r="224" spans="1:48" ht="12.75">
      <c r="A224" s="5" t="s">
        <v>93</v>
      </c>
      <c r="B224" s="5" t="s">
        <v>9</v>
      </c>
      <c r="C224" s="5" t="s">
        <v>186</v>
      </c>
      <c r="D224" s="5" t="s">
        <v>259</v>
      </c>
      <c r="E224" s="5" t="s">
        <v>356</v>
      </c>
      <c r="F224" s="86">
        <v>8.2</v>
      </c>
      <c r="G224" s="21">
        <v>0</v>
      </c>
      <c r="H224" s="21">
        <f>F224*AE224</f>
        <v>0</v>
      </c>
      <c r="I224" s="21">
        <f>J224-H224</f>
        <v>0</v>
      </c>
      <c r="J224" s="21">
        <f>F224*G224</f>
        <v>0</v>
      </c>
      <c r="K224" s="21">
        <v>0</v>
      </c>
      <c r="L224" s="21">
        <f>F224*K224</f>
        <v>0</v>
      </c>
      <c r="M224" s="33" t="s">
        <v>376</v>
      </c>
      <c r="P224" s="37">
        <f>IF(AG224="5",J224,0)</f>
        <v>0</v>
      </c>
      <c r="R224" s="37">
        <f>IF(AG224="1",H224,0)</f>
        <v>0</v>
      </c>
      <c r="S224" s="37">
        <f>IF(AG224="1",I224,0)</f>
        <v>0</v>
      </c>
      <c r="T224" s="37">
        <f>IF(AG224="7",H224,0)</f>
        <v>0</v>
      </c>
      <c r="U224" s="37">
        <f>IF(AG224="7",I224,0)</f>
        <v>0</v>
      </c>
      <c r="V224" s="37">
        <f>IF(AG224="2",H224,0)</f>
        <v>0</v>
      </c>
      <c r="W224" s="37">
        <f>IF(AG224="2",I224,0)</f>
        <v>0</v>
      </c>
      <c r="X224" s="37">
        <f>IF(AG224="0",J224,0)</f>
        <v>0</v>
      </c>
      <c r="Y224" s="29" t="s">
        <v>9</v>
      </c>
      <c r="Z224" s="21">
        <f>IF(AD224=0,J224,0)</f>
        <v>0</v>
      </c>
      <c r="AA224" s="21">
        <f>IF(AD224=15,J224,0)</f>
        <v>0</v>
      </c>
      <c r="AB224" s="21">
        <f>IF(AD224=21,J224,0)</f>
        <v>0</v>
      </c>
      <c r="AD224" s="37">
        <v>21</v>
      </c>
      <c r="AE224" s="37">
        <f>G224*0</f>
        <v>0</v>
      </c>
      <c r="AF224" s="37">
        <f>G224*(1-0)</f>
        <v>0</v>
      </c>
      <c r="AG224" s="33" t="s">
        <v>11</v>
      </c>
      <c r="AM224" s="37">
        <f>F224*AE224</f>
        <v>0</v>
      </c>
      <c r="AN224" s="37">
        <f>F224*AF224</f>
        <v>0</v>
      </c>
      <c r="AO224" s="38" t="s">
        <v>396</v>
      </c>
      <c r="AP224" s="38" t="s">
        <v>413</v>
      </c>
      <c r="AQ224" s="29" t="s">
        <v>425</v>
      </c>
      <c r="AS224" s="37">
        <f>AM224+AN224</f>
        <v>0</v>
      </c>
      <c r="AT224" s="37">
        <f>G224/(100-AU224)*100</f>
        <v>0</v>
      </c>
      <c r="AU224" s="37">
        <v>0</v>
      </c>
      <c r="AV224" s="37">
        <f>L224</f>
        <v>0</v>
      </c>
    </row>
    <row r="225" spans="4:6" ht="12.75">
      <c r="D225" s="17" t="s">
        <v>307</v>
      </c>
      <c r="F225" s="88">
        <v>8.2</v>
      </c>
    </row>
    <row r="226" spans="1:48" ht="12.75">
      <c r="A226" s="5" t="s">
        <v>94</v>
      </c>
      <c r="B226" s="5" t="s">
        <v>9</v>
      </c>
      <c r="C226" s="5" t="s">
        <v>187</v>
      </c>
      <c r="D226" s="5" t="s">
        <v>261</v>
      </c>
      <c r="E226" s="5" t="s">
        <v>356</v>
      </c>
      <c r="F226" s="86">
        <v>164</v>
      </c>
      <c r="G226" s="21">
        <v>0</v>
      </c>
      <c r="H226" s="21">
        <f>F226*AE226</f>
        <v>0</v>
      </c>
      <c r="I226" s="21">
        <f>J226-H226</f>
        <v>0</v>
      </c>
      <c r="J226" s="21">
        <f>F226*G226</f>
        <v>0</v>
      </c>
      <c r="K226" s="21">
        <v>0</v>
      </c>
      <c r="L226" s="21">
        <f>F226*K226</f>
        <v>0</v>
      </c>
      <c r="M226" s="33" t="s">
        <v>376</v>
      </c>
      <c r="P226" s="37">
        <f>IF(AG226="5",J226,0)</f>
        <v>0</v>
      </c>
      <c r="R226" s="37">
        <f>IF(AG226="1",H226,0)</f>
        <v>0</v>
      </c>
      <c r="S226" s="37">
        <f>IF(AG226="1",I226,0)</f>
        <v>0</v>
      </c>
      <c r="T226" s="37">
        <f>IF(AG226="7",H226,0)</f>
        <v>0</v>
      </c>
      <c r="U226" s="37">
        <f>IF(AG226="7",I226,0)</f>
        <v>0</v>
      </c>
      <c r="V226" s="37">
        <f>IF(AG226="2",H226,0)</f>
        <v>0</v>
      </c>
      <c r="W226" s="37">
        <f>IF(AG226="2",I226,0)</f>
        <v>0</v>
      </c>
      <c r="X226" s="37">
        <f>IF(AG226="0",J226,0)</f>
        <v>0</v>
      </c>
      <c r="Y226" s="29" t="s">
        <v>9</v>
      </c>
      <c r="Z226" s="21">
        <f>IF(AD226=0,J226,0)</f>
        <v>0</v>
      </c>
      <c r="AA226" s="21">
        <f>IF(AD226=15,J226,0)</f>
        <v>0</v>
      </c>
      <c r="AB226" s="21">
        <f>IF(AD226=21,J226,0)</f>
        <v>0</v>
      </c>
      <c r="AD226" s="37">
        <v>21</v>
      </c>
      <c r="AE226" s="37">
        <f>G226*0</f>
        <v>0</v>
      </c>
      <c r="AF226" s="37">
        <f>G226*(1-0)</f>
        <v>0</v>
      </c>
      <c r="AG226" s="33" t="s">
        <v>11</v>
      </c>
      <c r="AM226" s="37">
        <f>F226*AE226</f>
        <v>0</v>
      </c>
      <c r="AN226" s="37">
        <f>F226*AF226</f>
        <v>0</v>
      </c>
      <c r="AO226" s="38" t="s">
        <v>396</v>
      </c>
      <c r="AP226" s="38" t="s">
        <v>413</v>
      </c>
      <c r="AQ226" s="29" t="s">
        <v>425</v>
      </c>
      <c r="AS226" s="37">
        <f>AM226+AN226</f>
        <v>0</v>
      </c>
      <c r="AT226" s="37">
        <f>G226/(100-AU226)*100</f>
        <v>0</v>
      </c>
      <c r="AU226" s="37">
        <v>0</v>
      </c>
      <c r="AV226" s="37">
        <f>L226</f>
        <v>0</v>
      </c>
    </row>
    <row r="227" spans="4:6" ht="12.75">
      <c r="D227" s="17" t="s">
        <v>308</v>
      </c>
      <c r="F227" s="88">
        <v>164</v>
      </c>
    </row>
    <row r="228" spans="1:37" ht="12.75">
      <c r="A228" s="4"/>
      <c r="B228" s="14" t="s">
        <v>9</v>
      </c>
      <c r="C228" s="14" t="s">
        <v>188</v>
      </c>
      <c r="D228" s="14" t="s">
        <v>227</v>
      </c>
      <c r="E228" s="4" t="s">
        <v>6</v>
      </c>
      <c r="F228" s="4" t="s">
        <v>6</v>
      </c>
      <c r="G228" s="4" t="s">
        <v>6</v>
      </c>
      <c r="H228" s="40">
        <f>SUM(H229:H229)</f>
        <v>0</v>
      </c>
      <c r="I228" s="40">
        <f>SUM(I229:I229)</f>
        <v>0</v>
      </c>
      <c r="J228" s="40">
        <f>H228+I228</f>
        <v>0</v>
      </c>
      <c r="K228" s="29"/>
      <c r="L228" s="40">
        <f>SUM(L229:L229)</f>
        <v>0</v>
      </c>
      <c r="M228" s="29"/>
      <c r="Y228" s="29" t="s">
        <v>9</v>
      </c>
      <c r="AI228" s="40">
        <f>SUM(Z229:Z229)</f>
        <v>0</v>
      </c>
      <c r="AJ228" s="40">
        <f>SUM(AA229:AA229)</f>
        <v>0</v>
      </c>
      <c r="AK228" s="40">
        <f>SUM(AB229:AB229)</f>
        <v>0</v>
      </c>
    </row>
    <row r="229" spans="1:48" ht="12.75">
      <c r="A229" s="5" t="s">
        <v>95</v>
      </c>
      <c r="B229" s="5" t="s">
        <v>9</v>
      </c>
      <c r="C229" s="5" t="s">
        <v>189</v>
      </c>
      <c r="D229" s="5" t="s">
        <v>263</v>
      </c>
      <c r="E229" s="5" t="s">
        <v>356</v>
      </c>
      <c r="F229" s="86">
        <v>8.2</v>
      </c>
      <c r="G229" s="21">
        <v>0</v>
      </c>
      <c r="H229" s="21">
        <f>F229*AE229</f>
        <v>0</v>
      </c>
      <c r="I229" s="21">
        <f>J229-H229</f>
        <v>0</v>
      </c>
      <c r="J229" s="21">
        <f>F229*G229</f>
        <v>0</v>
      </c>
      <c r="K229" s="21">
        <v>0</v>
      </c>
      <c r="L229" s="21">
        <f>F229*K229</f>
        <v>0</v>
      </c>
      <c r="M229" s="33" t="s">
        <v>376</v>
      </c>
      <c r="P229" s="37">
        <f>IF(AG229="5",J229,0)</f>
        <v>0</v>
      </c>
      <c r="R229" s="37">
        <f>IF(AG229="1",H229,0)</f>
        <v>0</v>
      </c>
      <c r="S229" s="37">
        <f>IF(AG229="1",I229,0)</f>
        <v>0</v>
      </c>
      <c r="T229" s="37">
        <f>IF(AG229="7",H229,0)</f>
        <v>0</v>
      </c>
      <c r="U229" s="37">
        <f>IF(AG229="7",I229,0)</f>
        <v>0</v>
      </c>
      <c r="V229" s="37">
        <f>IF(AG229="2",H229,0)</f>
        <v>0</v>
      </c>
      <c r="W229" s="37">
        <f>IF(AG229="2",I229,0)</f>
        <v>0</v>
      </c>
      <c r="X229" s="37">
        <f>IF(AG229="0",J229,0)</f>
        <v>0</v>
      </c>
      <c r="Y229" s="29" t="s">
        <v>9</v>
      </c>
      <c r="Z229" s="21">
        <f>IF(AD229=0,J229,0)</f>
        <v>0</v>
      </c>
      <c r="AA229" s="21">
        <f>IF(AD229=15,J229,0)</f>
        <v>0</v>
      </c>
      <c r="AB229" s="21">
        <f>IF(AD229=21,J229,0)</f>
        <v>0</v>
      </c>
      <c r="AD229" s="37">
        <v>21</v>
      </c>
      <c r="AE229" s="37">
        <f>G229*0</f>
        <v>0</v>
      </c>
      <c r="AF229" s="37">
        <f>G229*(1-0)</f>
        <v>0</v>
      </c>
      <c r="AG229" s="33" t="s">
        <v>11</v>
      </c>
      <c r="AM229" s="37">
        <f>F229*AE229</f>
        <v>0</v>
      </c>
      <c r="AN229" s="37">
        <f>F229*AF229</f>
        <v>0</v>
      </c>
      <c r="AO229" s="38" t="s">
        <v>397</v>
      </c>
      <c r="AP229" s="38" t="s">
        <v>413</v>
      </c>
      <c r="AQ229" s="29" t="s">
        <v>425</v>
      </c>
      <c r="AS229" s="37">
        <f>AM229+AN229</f>
        <v>0</v>
      </c>
      <c r="AT229" s="37">
        <f>G229/(100-AU229)*100</f>
        <v>0</v>
      </c>
      <c r="AU229" s="37">
        <v>0</v>
      </c>
      <c r="AV229" s="37">
        <f>L229</f>
        <v>0</v>
      </c>
    </row>
    <row r="230" spans="4:6" ht="12.75">
      <c r="D230" s="17" t="s">
        <v>309</v>
      </c>
      <c r="F230" s="88">
        <v>8.2</v>
      </c>
    </row>
    <row r="231" spans="1:37" ht="12.75">
      <c r="A231" s="4"/>
      <c r="B231" s="14" t="s">
        <v>9</v>
      </c>
      <c r="C231" s="14" t="s">
        <v>190</v>
      </c>
      <c r="D231" s="14" t="s">
        <v>265</v>
      </c>
      <c r="E231" s="4" t="s">
        <v>6</v>
      </c>
      <c r="F231" s="4" t="s">
        <v>6</v>
      </c>
      <c r="G231" s="4" t="s">
        <v>6</v>
      </c>
      <c r="H231" s="40">
        <f>SUM(H232:H238)</f>
        <v>0</v>
      </c>
      <c r="I231" s="40">
        <f>SUM(I232:I238)</f>
        <v>0</v>
      </c>
      <c r="J231" s="40">
        <f>H231+I231</f>
        <v>0</v>
      </c>
      <c r="K231" s="29"/>
      <c r="L231" s="40">
        <f>SUM(L232:L238)</f>
        <v>0</v>
      </c>
      <c r="M231" s="29"/>
      <c r="Y231" s="29" t="s">
        <v>9</v>
      </c>
      <c r="AI231" s="40">
        <f>SUM(Z232:Z238)</f>
        <v>0</v>
      </c>
      <c r="AJ231" s="40">
        <f>SUM(AA232:AA238)</f>
        <v>0</v>
      </c>
      <c r="AK231" s="40">
        <f>SUM(AB232:AB238)</f>
        <v>0</v>
      </c>
    </row>
    <row r="232" spans="1:48" ht="12.75">
      <c r="A232" s="5" t="s">
        <v>96</v>
      </c>
      <c r="B232" s="5" t="s">
        <v>9</v>
      </c>
      <c r="C232" s="5" t="s">
        <v>191</v>
      </c>
      <c r="D232" s="5" t="s">
        <v>266</v>
      </c>
      <c r="E232" s="5" t="s">
        <v>356</v>
      </c>
      <c r="F232" s="86">
        <v>3.17</v>
      </c>
      <c r="G232" s="21">
        <v>0</v>
      </c>
      <c r="H232" s="21">
        <f>F232*AE232</f>
        <v>0</v>
      </c>
      <c r="I232" s="21">
        <f>J232-H232</f>
        <v>0</v>
      </c>
      <c r="J232" s="21">
        <f>F232*G232</f>
        <v>0</v>
      </c>
      <c r="K232" s="21">
        <v>0</v>
      </c>
      <c r="L232" s="21">
        <f>F232*K232</f>
        <v>0</v>
      </c>
      <c r="M232" s="33" t="s">
        <v>376</v>
      </c>
      <c r="P232" s="37">
        <f>IF(AG232="5",J232,0)</f>
        <v>0</v>
      </c>
      <c r="R232" s="37">
        <f>IF(AG232="1",H232,0)</f>
        <v>0</v>
      </c>
      <c r="S232" s="37">
        <f>IF(AG232="1",I232,0)</f>
        <v>0</v>
      </c>
      <c r="T232" s="37">
        <f>IF(AG232="7",H232,0)</f>
        <v>0</v>
      </c>
      <c r="U232" s="37">
        <f>IF(AG232="7",I232,0)</f>
        <v>0</v>
      </c>
      <c r="V232" s="37">
        <f>IF(AG232="2",H232,0)</f>
        <v>0</v>
      </c>
      <c r="W232" s="37">
        <f>IF(AG232="2",I232,0)</f>
        <v>0</v>
      </c>
      <c r="X232" s="37">
        <f>IF(AG232="0",J232,0)</f>
        <v>0</v>
      </c>
      <c r="Y232" s="29" t="s">
        <v>9</v>
      </c>
      <c r="Z232" s="21">
        <f>IF(AD232=0,J232,0)</f>
        <v>0</v>
      </c>
      <c r="AA232" s="21">
        <f>IF(AD232=15,J232,0)</f>
        <v>0</v>
      </c>
      <c r="AB232" s="21">
        <f>IF(AD232=21,J232,0)</f>
        <v>0</v>
      </c>
      <c r="AD232" s="37">
        <v>21</v>
      </c>
      <c r="AE232" s="37">
        <f>G232*0</f>
        <v>0</v>
      </c>
      <c r="AF232" s="37">
        <f>G232*(1-0)</f>
        <v>0</v>
      </c>
      <c r="AG232" s="33" t="s">
        <v>11</v>
      </c>
      <c r="AM232" s="37">
        <f>F232*AE232</f>
        <v>0</v>
      </c>
      <c r="AN232" s="37">
        <f>F232*AF232</f>
        <v>0</v>
      </c>
      <c r="AO232" s="38" t="s">
        <v>398</v>
      </c>
      <c r="AP232" s="38" t="s">
        <v>413</v>
      </c>
      <c r="AQ232" s="29" t="s">
        <v>425</v>
      </c>
      <c r="AS232" s="37">
        <f>AM232+AN232</f>
        <v>0</v>
      </c>
      <c r="AT232" s="37">
        <f>G232/(100-AU232)*100</f>
        <v>0</v>
      </c>
      <c r="AU232" s="37">
        <v>0</v>
      </c>
      <c r="AV232" s="37">
        <f>L232</f>
        <v>0</v>
      </c>
    </row>
    <row r="233" spans="4:6" ht="12.75">
      <c r="D233" s="17" t="s">
        <v>310</v>
      </c>
      <c r="F233" s="88">
        <v>3.17</v>
      </c>
    </row>
    <row r="234" spans="1:48" ht="12.75">
      <c r="A234" s="5" t="s">
        <v>97</v>
      </c>
      <c r="B234" s="5" t="s">
        <v>9</v>
      </c>
      <c r="C234" s="5" t="s">
        <v>192</v>
      </c>
      <c r="D234" s="5" t="s">
        <v>268</v>
      </c>
      <c r="E234" s="5" t="s">
        <v>356</v>
      </c>
      <c r="F234" s="86">
        <v>3.17</v>
      </c>
      <c r="G234" s="21">
        <v>0</v>
      </c>
      <c r="H234" s="21">
        <f>F234*AE234</f>
        <v>0</v>
      </c>
      <c r="I234" s="21">
        <f>J234-H234</f>
        <v>0</v>
      </c>
      <c r="J234" s="21">
        <f>F234*G234</f>
        <v>0</v>
      </c>
      <c r="K234" s="21">
        <v>0</v>
      </c>
      <c r="L234" s="21">
        <f>F234*K234</f>
        <v>0</v>
      </c>
      <c r="M234" s="33" t="s">
        <v>376</v>
      </c>
      <c r="P234" s="37">
        <f>IF(AG234="5",J234,0)</f>
        <v>0</v>
      </c>
      <c r="R234" s="37">
        <f>IF(AG234="1",H234,0)</f>
        <v>0</v>
      </c>
      <c r="S234" s="37">
        <f>IF(AG234="1",I234,0)</f>
        <v>0</v>
      </c>
      <c r="T234" s="37">
        <f>IF(AG234="7",H234,0)</f>
        <v>0</v>
      </c>
      <c r="U234" s="37">
        <f>IF(AG234="7",I234,0)</f>
        <v>0</v>
      </c>
      <c r="V234" s="37">
        <f>IF(AG234="2",H234,0)</f>
        <v>0</v>
      </c>
      <c r="W234" s="37">
        <f>IF(AG234="2",I234,0)</f>
        <v>0</v>
      </c>
      <c r="X234" s="37">
        <f>IF(AG234="0",J234,0)</f>
        <v>0</v>
      </c>
      <c r="Y234" s="29" t="s">
        <v>9</v>
      </c>
      <c r="Z234" s="21">
        <f>IF(AD234=0,J234,0)</f>
        <v>0</v>
      </c>
      <c r="AA234" s="21">
        <f>IF(AD234=15,J234,0)</f>
        <v>0</v>
      </c>
      <c r="AB234" s="21">
        <f>IF(AD234=21,J234,0)</f>
        <v>0</v>
      </c>
      <c r="AD234" s="37">
        <v>21</v>
      </c>
      <c r="AE234" s="37">
        <f>G234*0</f>
        <v>0</v>
      </c>
      <c r="AF234" s="37">
        <f>G234*(1-0)</f>
        <v>0</v>
      </c>
      <c r="AG234" s="33" t="s">
        <v>11</v>
      </c>
      <c r="AM234" s="37">
        <f>F234*AE234</f>
        <v>0</v>
      </c>
      <c r="AN234" s="37">
        <f>F234*AF234</f>
        <v>0</v>
      </c>
      <c r="AO234" s="38" t="s">
        <v>398</v>
      </c>
      <c r="AP234" s="38" t="s">
        <v>413</v>
      </c>
      <c r="AQ234" s="29" t="s">
        <v>425</v>
      </c>
      <c r="AS234" s="37">
        <f>AM234+AN234</f>
        <v>0</v>
      </c>
      <c r="AT234" s="37">
        <f>G234/(100-AU234)*100</f>
        <v>0</v>
      </c>
      <c r="AU234" s="37">
        <v>0</v>
      </c>
      <c r="AV234" s="37">
        <f>L234</f>
        <v>0</v>
      </c>
    </row>
    <row r="235" spans="4:6" ht="12.75">
      <c r="D235" s="17" t="s">
        <v>310</v>
      </c>
      <c r="F235" s="88">
        <v>3.17</v>
      </c>
    </row>
    <row r="236" spans="1:48" ht="12.75">
      <c r="A236" s="5" t="s">
        <v>98</v>
      </c>
      <c r="B236" s="5" t="s">
        <v>9</v>
      </c>
      <c r="C236" s="5" t="s">
        <v>193</v>
      </c>
      <c r="D236" s="5" t="s">
        <v>270</v>
      </c>
      <c r="E236" s="5" t="s">
        <v>356</v>
      </c>
      <c r="F236" s="86">
        <v>3.17</v>
      </c>
      <c r="G236" s="21">
        <v>0</v>
      </c>
      <c r="H236" s="21">
        <f>F236*AE236</f>
        <v>0</v>
      </c>
      <c r="I236" s="21">
        <f>J236-H236</f>
        <v>0</v>
      </c>
      <c r="J236" s="21">
        <f>F236*G236</f>
        <v>0</v>
      </c>
      <c r="K236" s="21">
        <v>0</v>
      </c>
      <c r="L236" s="21">
        <f>F236*K236</f>
        <v>0</v>
      </c>
      <c r="M236" s="33" t="s">
        <v>376</v>
      </c>
      <c r="P236" s="37">
        <f>IF(AG236="5",J236,0)</f>
        <v>0</v>
      </c>
      <c r="R236" s="37">
        <f>IF(AG236="1",H236,0)</f>
        <v>0</v>
      </c>
      <c r="S236" s="37">
        <f>IF(AG236="1",I236,0)</f>
        <v>0</v>
      </c>
      <c r="T236" s="37">
        <f>IF(AG236="7",H236,0)</f>
        <v>0</v>
      </c>
      <c r="U236" s="37">
        <f>IF(AG236="7",I236,0)</f>
        <v>0</v>
      </c>
      <c r="V236" s="37">
        <f>IF(AG236="2",H236,0)</f>
        <v>0</v>
      </c>
      <c r="W236" s="37">
        <f>IF(AG236="2",I236,0)</f>
        <v>0</v>
      </c>
      <c r="X236" s="37">
        <f>IF(AG236="0",J236,0)</f>
        <v>0</v>
      </c>
      <c r="Y236" s="29" t="s">
        <v>9</v>
      </c>
      <c r="Z236" s="21">
        <f>IF(AD236=0,J236,0)</f>
        <v>0</v>
      </c>
      <c r="AA236" s="21">
        <f>IF(AD236=15,J236,0)</f>
        <v>0</v>
      </c>
      <c r="AB236" s="21">
        <f>IF(AD236=21,J236,0)</f>
        <v>0</v>
      </c>
      <c r="AD236" s="37">
        <v>21</v>
      </c>
      <c r="AE236" s="37">
        <f>G236*0.0101534775767112</f>
        <v>0</v>
      </c>
      <c r="AF236" s="37">
        <f>G236*(1-0.0101534775767112)</f>
        <v>0</v>
      </c>
      <c r="AG236" s="33" t="s">
        <v>11</v>
      </c>
      <c r="AM236" s="37">
        <f>F236*AE236</f>
        <v>0</v>
      </c>
      <c r="AN236" s="37">
        <f>F236*AF236</f>
        <v>0</v>
      </c>
      <c r="AO236" s="38" t="s">
        <v>398</v>
      </c>
      <c r="AP236" s="38" t="s">
        <v>413</v>
      </c>
      <c r="AQ236" s="29" t="s">
        <v>425</v>
      </c>
      <c r="AS236" s="37">
        <f>AM236+AN236</f>
        <v>0</v>
      </c>
      <c r="AT236" s="37">
        <f>G236/(100-AU236)*100</f>
        <v>0</v>
      </c>
      <c r="AU236" s="37">
        <v>0</v>
      </c>
      <c r="AV236" s="37">
        <f>L236</f>
        <v>0</v>
      </c>
    </row>
    <row r="237" spans="4:6" ht="12.75">
      <c r="D237" s="17" t="s">
        <v>310</v>
      </c>
      <c r="F237" s="88">
        <v>3.17</v>
      </c>
    </row>
    <row r="238" spans="1:48" ht="12.75">
      <c r="A238" s="5" t="s">
        <v>99</v>
      </c>
      <c r="B238" s="5" t="s">
        <v>9</v>
      </c>
      <c r="C238" s="5" t="s">
        <v>194</v>
      </c>
      <c r="D238" s="5" t="s">
        <v>271</v>
      </c>
      <c r="E238" s="5" t="s">
        <v>356</v>
      </c>
      <c r="F238" s="86">
        <v>3.17</v>
      </c>
      <c r="G238" s="21">
        <v>0</v>
      </c>
      <c r="H238" s="21">
        <f>F238*AE238</f>
        <v>0</v>
      </c>
      <c r="I238" s="21">
        <f>J238-H238</f>
        <v>0</v>
      </c>
      <c r="J238" s="21">
        <f>F238*G238</f>
        <v>0</v>
      </c>
      <c r="K238" s="21">
        <v>0</v>
      </c>
      <c r="L238" s="21">
        <f>F238*K238</f>
        <v>0</v>
      </c>
      <c r="M238" s="33" t="s">
        <v>376</v>
      </c>
      <c r="P238" s="37">
        <f>IF(AG238="5",J238,0)</f>
        <v>0</v>
      </c>
      <c r="R238" s="37">
        <f>IF(AG238="1",H238,0)</f>
        <v>0</v>
      </c>
      <c r="S238" s="37">
        <f>IF(AG238="1",I238,0)</f>
        <v>0</v>
      </c>
      <c r="T238" s="37">
        <f>IF(AG238="7",H238,0)</f>
        <v>0</v>
      </c>
      <c r="U238" s="37">
        <f>IF(AG238="7",I238,0)</f>
        <v>0</v>
      </c>
      <c r="V238" s="37">
        <f>IF(AG238="2",H238,0)</f>
        <v>0</v>
      </c>
      <c r="W238" s="37">
        <f>IF(AG238="2",I238,0)</f>
        <v>0</v>
      </c>
      <c r="X238" s="37">
        <f>IF(AG238="0",J238,0)</f>
        <v>0</v>
      </c>
      <c r="Y238" s="29" t="s">
        <v>9</v>
      </c>
      <c r="Z238" s="21">
        <f>IF(AD238=0,J238,0)</f>
        <v>0</v>
      </c>
      <c r="AA238" s="21">
        <f>IF(AD238=15,J238,0)</f>
        <v>0</v>
      </c>
      <c r="AB238" s="21">
        <f>IF(AD238=21,J238,0)</f>
        <v>0</v>
      </c>
      <c r="AD238" s="37">
        <v>21</v>
      </c>
      <c r="AE238" s="37">
        <f>G238*0</f>
        <v>0</v>
      </c>
      <c r="AF238" s="37">
        <f>G238*(1-0)</f>
        <v>0</v>
      </c>
      <c r="AG238" s="33" t="s">
        <v>11</v>
      </c>
      <c r="AM238" s="37">
        <f>F238*AE238</f>
        <v>0</v>
      </c>
      <c r="AN238" s="37">
        <f>F238*AF238</f>
        <v>0</v>
      </c>
      <c r="AO238" s="38" t="s">
        <v>398</v>
      </c>
      <c r="AP238" s="38" t="s">
        <v>413</v>
      </c>
      <c r="AQ238" s="29" t="s">
        <v>425</v>
      </c>
      <c r="AS238" s="37">
        <f>AM238+AN238</f>
        <v>0</v>
      </c>
      <c r="AT238" s="37">
        <f>G238/(100-AU238)*100</f>
        <v>0</v>
      </c>
      <c r="AU238" s="37">
        <v>0</v>
      </c>
      <c r="AV238" s="37">
        <f>L238</f>
        <v>0</v>
      </c>
    </row>
    <row r="239" spans="4:6" ht="12.75">
      <c r="D239" s="17" t="s">
        <v>310</v>
      </c>
      <c r="F239" s="88">
        <v>3.17</v>
      </c>
    </row>
    <row r="240" spans="1:13" ht="12.75">
      <c r="A240" s="7"/>
      <c r="B240" s="15" t="s">
        <v>10</v>
      </c>
      <c r="C240" s="15"/>
      <c r="D240" s="15" t="s">
        <v>311</v>
      </c>
      <c r="E240" s="7" t="s">
        <v>6</v>
      </c>
      <c r="F240" s="7" t="s">
        <v>6</v>
      </c>
      <c r="G240" s="7" t="s">
        <v>6</v>
      </c>
      <c r="H240" s="41">
        <f>H241+H244+H249+H252+H259+H264+H269+H274+H279+H292+H297+H300</f>
        <v>0</v>
      </c>
      <c r="I240" s="41">
        <f>I241+I244+I249+I252+I259+I264+I269+I274+I279+I292+I297+I300</f>
        <v>0</v>
      </c>
      <c r="J240" s="41">
        <f>H240+I240</f>
        <v>0</v>
      </c>
      <c r="K240" s="30"/>
      <c r="L240" s="41">
        <f>L241+L244+L249+L252+L259+L264+L269+L274+L279+L292+L297+L300</f>
        <v>11.75505386</v>
      </c>
      <c r="M240" s="30"/>
    </row>
    <row r="241" spans="1:37" ht="12.75">
      <c r="A241" s="4"/>
      <c r="B241" s="14" t="s">
        <v>10</v>
      </c>
      <c r="C241" s="14" t="s">
        <v>40</v>
      </c>
      <c r="D241" s="14" t="s">
        <v>203</v>
      </c>
      <c r="E241" s="4" t="s">
        <v>6</v>
      </c>
      <c r="F241" s="4" t="s">
        <v>6</v>
      </c>
      <c r="G241" s="4" t="s">
        <v>6</v>
      </c>
      <c r="H241" s="40">
        <f>SUM(H242:H242)</f>
        <v>0</v>
      </c>
      <c r="I241" s="40">
        <f>SUM(I242:I242)</f>
        <v>0</v>
      </c>
      <c r="J241" s="40">
        <f>H241+I241</f>
        <v>0</v>
      </c>
      <c r="K241" s="29"/>
      <c r="L241" s="40">
        <f>SUM(L242:L242)</f>
        <v>5.67594</v>
      </c>
      <c r="M241" s="29"/>
      <c r="Y241" s="29" t="s">
        <v>10</v>
      </c>
      <c r="AI241" s="40">
        <f>SUM(Z242:Z242)</f>
        <v>0</v>
      </c>
      <c r="AJ241" s="40">
        <f>SUM(AA242:AA242)</f>
        <v>0</v>
      </c>
      <c r="AK241" s="40">
        <f>SUM(AB242:AB242)</f>
        <v>0</v>
      </c>
    </row>
    <row r="242" spans="1:48" ht="12.75">
      <c r="A242" s="5" t="s">
        <v>100</v>
      </c>
      <c r="B242" s="5" t="s">
        <v>10</v>
      </c>
      <c r="C242" s="5" t="s">
        <v>153</v>
      </c>
      <c r="D242" s="5" t="s">
        <v>204</v>
      </c>
      <c r="E242" s="5" t="s">
        <v>350</v>
      </c>
      <c r="F242" s="86">
        <v>62.1</v>
      </c>
      <c r="G242" s="21">
        <v>0</v>
      </c>
      <c r="H242" s="21">
        <f>F242*AE242</f>
        <v>0</v>
      </c>
      <c r="I242" s="21">
        <f>J242-H242</f>
        <v>0</v>
      </c>
      <c r="J242" s="21">
        <f>F242*G242</f>
        <v>0</v>
      </c>
      <c r="K242" s="21">
        <v>0.0914</v>
      </c>
      <c r="L242" s="21">
        <f>F242*K242</f>
        <v>5.67594</v>
      </c>
      <c r="M242" s="33" t="s">
        <v>376</v>
      </c>
      <c r="P242" s="37">
        <f>IF(AG242="5",J242,0)</f>
        <v>0</v>
      </c>
      <c r="R242" s="37">
        <f>IF(AG242="1",H242,0)</f>
        <v>0</v>
      </c>
      <c r="S242" s="37">
        <f>IF(AG242="1",I242,0)</f>
        <v>0</v>
      </c>
      <c r="T242" s="37">
        <f>IF(AG242="7",H242,0)</f>
        <v>0</v>
      </c>
      <c r="U242" s="37">
        <f>IF(AG242="7",I242,0)</f>
        <v>0</v>
      </c>
      <c r="V242" s="37">
        <f>IF(AG242="2",H242,0)</f>
        <v>0</v>
      </c>
      <c r="W242" s="37">
        <f>IF(AG242="2",I242,0)</f>
        <v>0</v>
      </c>
      <c r="X242" s="37">
        <f>IF(AG242="0",J242,0)</f>
        <v>0</v>
      </c>
      <c r="Y242" s="29" t="s">
        <v>10</v>
      </c>
      <c r="Z242" s="21">
        <f>IF(AD242=0,J242,0)</f>
        <v>0</v>
      </c>
      <c r="AA242" s="21">
        <f>IF(AD242=15,J242,0)</f>
        <v>0</v>
      </c>
      <c r="AB242" s="21">
        <f>IF(AD242=21,J242,0)</f>
        <v>0</v>
      </c>
      <c r="AD242" s="37">
        <v>21</v>
      </c>
      <c r="AE242" s="37">
        <f>G242*0.288836201395813</f>
        <v>0</v>
      </c>
      <c r="AF242" s="37">
        <f>G242*(1-0.288836201395813)</f>
        <v>0</v>
      </c>
      <c r="AG242" s="33" t="s">
        <v>7</v>
      </c>
      <c r="AM242" s="37">
        <f>F242*AE242</f>
        <v>0</v>
      </c>
      <c r="AN242" s="37">
        <f>F242*AF242</f>
        <v>0</v>
      </c>
      <c r="AO242" s="38" t="s">
        <v>386</v>
      </c>
      <c r="AP242" s="38" t="s">
        <v>414</v>
      </c>
      <c r="AQ242" s="29" t="s">
        <v>426</v>
      </c>
      <c r="AS242" s="37">
        <f>AM242+AN242</f>
        <v>0</v>
      </c>
      <c r="AT242" s="37">
        <f>G242/(100-AU242)*100</f>
        <v>0</v>
      </c>
      <c r="AU242" s="37">
        <v>0</v>
      </c>
      <c r="AV242" s="37">
        <f>L242</f>
        <v>5.67594</v>
      </c>
    </row>
    <row r="243" spans="4:6" ht="12.75">
      <c r="D243" s="17" t="s">
        <v>312</v>
      </c>
      <c r="F243" s="88">
        <v>62.1</v>
      </c>
    </row>
    <row r="244" spans="1:37" ht="12.75">
      <c r="A244" s="4"/>
      <c r="B244" s="14" t="s">
        <v>10</v>
      </c>
      <c r="C244" s="14" t="s">
        <v>67</v>
      </c>
      <c r="D244" s="14" t="s">
        <v>206</v>
      </c>
      <c r="E244" s="4" t="s">
        <v>6</v>
      </c>
      <c r="F244" s="4" t="s">
        <v>6</v>
      </c>
      <c r="G244" s="4" t="s">
        <v>6</v>
      </c>
      <c r="H244" s="40">
        <f>SUM(H245:H247)</f>
        <v>0</v>
      </c>
      <c r="I244" s="40">
        <f>SUM(I245:I247)</f>
        <v>0</v>
      </c>
      <c r="J244" s="40">
        <f>H244+I244</f>
        <v>0</v>
      </c>
      <c r="K244" s="29"/>
      <c r="L244" s="40">
        <f>SUM(L245:L247)</f>
        <v>0.9691405999999998</v>
      </c>
      <c r="M244" s="29"/>
      <c r="Y244" s="29" t="s">
        <v>10</v>
      </c>
      <c r="AI244" s="40">
        <f>SUM(Z245:Z247)</f>
        <v>0</v>
      </c>
      <c r="AJ244" s="40">
        <f>SUM(AA245:AA247)</f>
        <v>0</v>
      </c>
      <c r="AK244" s="40">
        <f>SUM(AB245:AB247)</f>
        <v>0</v>
      </c>
    </row>
    <row r="245" spans="1:48" ht="12.75">
      <c r="A245" s="5" t="s">
        <v>101</v>
      </c>
      <c r="B245" s="5" t="s">
        <v>10</v>
      </c>
      <c r="C245" s="5" t="s">
        <v>154</v>
      </c>
      <c r="D245" s="5" t="s">
        <v>207</v>
      </c>
      <c r="E245" s="5" t="s">
        <v>351</v>
      </c>
      <c r="F245" s="86">
        <v>27.72</v>
      </c>
      <c r="G245" s="21">
        <v>0</v>
      </c>
      <c r="H245" s="21">
        <f>F245*AE245</f>
        <v>0</v>
      </c>
      <c r="I245" s="21">
        <f>J245-H245</f>
        <v>0</v>
      </c>
      <c r="J245" s="21">
        <f>F245*G245</f>
        <v>0</v>
      </c>
      <c r="K245" s="21">
        <v>0.03491</v>
      </c>
      <c r="L245" s="21">
        <f>F245*K245</f>
        <v>0.9677051999999998</v>
      </c>
      <c r="M245" s="33" t="s">
        <v>376</v>
      </c>
      <c r="P245" s="37">
        <f>IF(AG245="5",J245,0)</f>
        <v>0</v>
      </c>
      <c r="R245" s="37">
        <f>IF(AG245="1",H245,0)</f>
        <v>0</v>
      </c>
      <c r="S245" s="37">
        <f>IF(AG245="1",I245,0)</f>
        <v>0</v>
      </c>
      <c r="T245" s="37">
        <f>IF(AG245="7",H245,0)</f>
        <v>0</v>
      </c>
      <c r="U245" s="37">
        <f>IF(AG245="7",I245,0)</f>
        <v>0</v>
      </c>
      <c r="V245" s="37">
        <f>IF(AG245="2",H245,0)</f>
        <v>0</v>
      </c>
      <c r="W245" s="37">
        <f>IF(AG245="2",I245,0)</f>
        <v>0</v>
      </c>
      <c r="X245" s="37">
        <f>IF(AG245="0",J245,0)</f>
        <v>0</v>
      </c>
      <c r="Y245" s="29" t="s">
        <v>10</v>
      </c>
      <c r="Z245" s="21">
        <f>IF(AD245=0,J245,0)</f>
        <v>0</v>
      </c>
      <c r="AA245" s="21">
        <f>IF(AD245=15,J245,0)</f>
        <v>0</v>
      </c>
      <c r="AB245" s="21">
        <f>IF(AD245=21,J245,0)</f>
        <v>0</v>
      </c>
      <c r="AD245" s="37">
        <v>21</v>
      </c>
      <c r="AE245" s="37">
        <f>G245*0.225929999495671</f>
        <v>0</v>
      </c>
      <c r="AF245" s="37">
        <f>G245*(1-0.225929999495671)</f>
        <v>0</v>
      </c>
      <c r="AG245" s="33" t="s">
        <v>7</v>
      </c>
      <c r="AM245" s="37">
        <f>F245*AE245</f>
        <v>0</v>
      </c>
      <c r="AN245" s="37">
        <f>F245*AF245</f>
        <v>0</v>
      </c>
      <c r="AO245" s="38" t="s">
        <v>387</v>
      </c>
      <c r="AP245" s="38" t="s">
        <v>415</v>
      </c>
      <c r="AQ245" s="29" t="s">
        <v>426</v>
      </c>
      <c r="AS245" s="37">
        <f>AM245+AN245</f>
        <v>0</v>
      </c>
      <c r="AT245" s="37">
        <f>G245/(100-AU245)*100</f>
        <v>0</v>
      </c>
      <c r="AU245" s="37">
        <v>0</v>
      </c>
      <c r="AV245" s="37">
        <f>L245</f>
        <v>0.9677051999999998</v>
      </c>
    </row>
    <row r="246" spans="4:6" ht="12.75">
      <c r="D246" s="17" t="s">
        <v>313</v>
      </c>
      <c r="F246" s="88">
        <v>27.72</v>
      </c>
    </row>
    <row r="247" spans="1:48" ht="12.75">
      <c r="A247" s="5" t="s">
        <v>102</v>
      </c>
      <c r="B247" s="5" t="s">
        <v>10</v>
      </c>
      <c r="C247" s="5" t="s">
        <v>155</v>
      </c>
      <c r="D247" s="5" t="s">
        <v>209</v>
      </c>
      <c r="E247" s="5" t="s">
        <v>351</v>
      </c>
      <c r="F247" s="86">
        <v>35.885</v>
      </c>
      <c r="G247" s="21">
        <v>0</v>
      </c>
      <c r="H247" s="21">
        <f>F247*AE247</f>
        <v>0</v>
      </c>
      <c r="I247" s="21">
        <f>J247-H247</f>
        <v>0</v>
      </c>
      <c r="J247" s="21">
        <f>F247*G247</f>
        <v>0</v>
      </c>
      <c r="K247" s="21">
        <v>4E-05</v>
      </c>
      <c r="L247" s="21">
        <f>F247*K247</f>
        <v>0.0014354</v>
      </c>
      <c r="M247" s="33" t="s">
        <v>376</v>
      </c>
      <c r="P247" s="37">
        <f>IF(AG247="5",J247,0)</f>
        <v>0</v>
      </c>
      <c r="R247" s="37">
        <f>IF(AG247="1",H247,0)</f>
        <v>0</v>
      </c>
      <c r="S247" s="37">
        <f>IF(AG247="1",I247,0)</f>
        <v>0</v>
      </c>
      <c r="T247" s="37">
        <f>IF(AG247="7",H247,0)</f>
        <v>0</v>
      </c>
      <c r="U247" s="37">
        <f>IF(AG247="7",I247,0)</f>
        <v>0</v>
      </c>
      <c r="V247" s="37">
        <f>IF(AG247="2",H247,0)</f>
        <v>0</v>
      </c>
      <c r="W247" s="37">
        <f>IF(AG247="2",I247,0)</f>
        <v>0</v>
      </c>
      <c r="X247" s="37">
        <f>IF(AG247="0",J247,0)</f>
        <v>0</v>
      </c>
      <c r="Y247" s="29" t="s">
        <v>10</v>
      </c>
      <c r="Z247" s="21">
        <f>IF(AD247=0,J247,0)</f>
        <v>0</v>
      </c>
      <c r="AA247" s="21">
        <f>IF(AD247=15,J247,0)</f>
        <v>0</v>
      </c>
      <c r="AB247" s="21">
        <f>IF(AD247=21,J247,0)</f>
        <v>0</v>
      </c>
      <c r="AD247" s="37">
        <v>21</v>
      </c>
      <c r="AE247" s="37">
        <f>G247*0.328069285283777</f>
        <v>0</v>
      </c>
      <c r="AF247" s="37">
        <f>G247*(1-0.328069285283777)</f>
        <v>0</v>
      </c>
      <c r="AG247" s="33" t="s">
        <v>7</v>
      </c>
      <c r="AM247" s="37">
        <f>F247*AE247</f>
        <v>0</v>
      </c>
      <c r="AN247" s="37">
        <f>F247*AF247</f>
        <v>0</v>
      </c>
      <c r="AO247" s="38" t="s">
        <v>387</v>
      </c>
      <c r="AP247" s="38" t="s">
        <v>415</v>
      </c>
      <c r="AQ247" s="29" t="s">
        <v>426</v>
      </c>
      <c r="AS247" s="37">
        <f>AM247+AN247</f>
        <v>0</v>
      </c>
      <c r="AT247" s="37">
        <f>G247/(100-AU247)*100</f>
        <v>0</v>
      </c>
      <c r="AU247" s="37">
        <v>0</v>
      </c>
      <c r="AV247" s="37">
        <f>L247</f>
        <v>0.0014354</v>
      </c>
    </row>
    <row r="248" spans="4:6" ht="12.75">
      <c r="D248" s="17" t="s">
        <v>314</v>
      </c>
      <c r="F248" s="88">
        <v>35.885</v>
      </c>
    </row>
    <row r="249" spans="1:37" ht="12.75">
      <c r="A249" s="4"/>
      <c r="B249" s="14" t="s">
        <v>10</v>
      </c>
      <c r="C249" s="14" t="s">
        <v>156</v>
      </c>
      <c r="D249" s="14" t="s">
        <v>211</v>
      </c>
      <c r="E249" s="4" t="s">
        <v>6</v>
      </c>
      <c r="F249" s="4" t="s">
        <v>6</v>
      </c>
      <c r="G249" s="4" t="s">
        <v>6</v>
      </c>
      <c r="H249" s="40">
        <f>SUM(H250:H250)</f>
        <v>0</v>
      </c>
      <c r="I249" s="40">
        <f>SUM(I250:I250)</f>
        <v>0</v>
      </c>
      <c r="J249" s="40">
        <f>H249+I249</f>
        <v>0</v>
      </c>
      <c r="K249" s="29"/>
      <c r="L249" s="40">
        <f>SUM(L250:L250)</f>
        <v>0</v>
      </c>
      <c r="M249" s="29"/>
      <c r="Y249" s="29" t="s">
        <v>10</v>
      </c>
      <c r="AI249" s="40">
        <f>SUM(Z250:Z250)</f>
        <v>0</v>
      </c>
      <c r="AJ249" s="40">
        <f>SUM(AA250:AA250)</f>
        <v>0</v>
      </c>
      <c r="AK249" s="40">
        <f>SUM(AB250:AB250)</f>
        <v>0</v>
      </c>
    </row>
    <row r="250" spans="1:48" ht="12.75">
      <c r="A250" s="5" t="s">
        <v>103</v>
      </c>
      <c r="B250" s="5" t="s">
        <v>10</v>
      </c>
      <c r="C250" s="5" t="s">
        <v>157</v>
      </c>
      <c r="D250" s="5" t="s">
        <v>212</v>
      </c>
      <c r="E250" s="5" t="s">
        <v>352</v>
      </c>
      <c r="F250" s="86">
        <v>22</v>
      </c>
      <c r="G250" s="21">
        <v>0</v>
      </c>
      <c r="H250" s="21">
        <f>F250*AE250</f>
        <v>0</v>
      </c>
      <c r="I250" s="21">
        <f>J250-H250</f>
        <v>0</v>
      </c>
      <c r="J250" s="21">
        <f>F250*G250</f>
        <v>0</v>
      </c>
      <c r="K250" s="21">
        <v>0</v>
      </c>
      <c r="L250" s="21">
        <f>F250*K250</f>
        <v>0</v>
      </c>
      <c r="M250" s="33"/>
      <c r="P250" s="37">
        <f>IF(AG250="5",J250,0)</f>
        <v>0</v>
      </c>
      <c r="R250" s="37">
        <f>IF(AG250="1",H250,0)</f>
        <v>0</v>
      </c>
      <c r="S250" s="37">
        <f>IF(AG250="1",I250,0)</f>
        <v>0</v>
      </c>
      <c r="T250" s="37">
        <f>IF(AG250="7",H250,0)</f>
        <v>0</v>
      </c>
      <c r="U250" s="37">
        <f>IF(AG250="7",I250,0)</f>
        <v>0</v>
      </c>
      <c r="V250" s="37">
        <f>IF(AG250="2",H250,0)</f>
        <v>0</v>
      </c>
      <c r="W250" s="37">
        <f>IF(AG250="2",I250,0)</f>
        <v>0</v>
      </c>
      <c r="X250" s="37">
        <f>IF(AG250="0",J250,0)</f>
        <v>0</v>
      </c>
      <c r="Y250" s="29" t="s">
        <v>10</v>
      </c>
      <c r="Z250" s="21">
        <f>IF(AD250=0,J250,0)</f>
        <v>0</v>
      </c>
      <c r="AA250" s="21">
        <f>IF(AD250=15,J250,0)</f>
        <v>0</v>
      </c>
      <c r="AB250" s="21">
        <f>IF(AD250=21,J250,0)</f>
        <v>0</v>
      </c>
      <c r="AD250" s="37">
        <v>21</v>
      </c>
      <c r="AE250" s="37">
        <f>G250*0</f>
        <v>0</v>
      </c>
      <c r="AF250" s="37">
        <f>G250*(1-0)</f>
        <v>0</v>
      </c>
      <c r="AG250" s="33" t="s">
        <v>7</v>
      </c>
      <c r="AM250" s="37">
        <f>F250*AE250</f>
        <v>0</v>
      </c>
      <c r="AN250" s="37">
        <f>F250*AF250</f>
        <v>0</v>
      </c>
      <c r="AO250" s="38" t="s">
        <v>388</v>
      </c>
      <c r="AP250" s="38" t="s">
        <v>415</v>
      </c>
      <c r="AQ250" s="29" t="s">
        <v>426</v>
      </c>
      <c r="AS250" s="37">
        <f>AM250+AN250</f>
        <v>0</v>
      </c>
      <c r="AT250" s="37">
        <f>G250/(100-AU250)*100</f>
        <v>0</v>
      </c>
      <c r="AU250" s="37">
        <v>0</v>
      </c>
      <c r="AV250" s="37">
        <f>L250</f>
        <v>0</v>
      </c>
    </row>
    <row r="251" spans="4:6" ht="12.75">
      <c r="D251" s="17" t="s">
        <v>315</v>
      </c>
      <c r="F251" s="88">
        <v>22</v>
      </c>
    </row>
    <row r="252" spans="1:37" ht="12.75">
      <c r="A252" s="4"/>
      <c r="B252" s="14" t="s">
        <v>10</v>
      </c>
      <c r="C252" s="14" t="s">
        <v>70</v>
      </c>
      <c r="D252" s="14" t="s">
        <v>214</v>
      </c>
      <c r="E252" s="4" t="s">
        <v>6</v>
      </c>
      <c r="F252" s="4" t="s">
        <v>6</v>
      </c>
      <c r="G252" s="4" t="s">
        <v>6</v>
      </c>
      <c r="H252" s="40">
        <f>SUM(H253:H257)</f>
        <v>0</v>
      </c>
      <c r="I252" s="40">
        <f>SUM(I253:I257)</f>
        <v>0</v>
      </c>
      <c r="J252" s="40">
        <f>H252+I252</f>
        <v>0</v>
      </c>
      <c r="K252" s="29"/>
      <c r="L252" s="40">
        <f>SUM(L253:L257)</f>
        <v>0.850081</v>
      </c>
      <c r="M252" s="29"/>
      <c r="Y252" s="29" t="s">
        <v>10</v>
      </c>
      <c r="AI252" s="40">
        <f>SUM(Z253:Z257)</f>
        <v>0</v>
      </c>
      <c r="AJ252" s="40">
        <f>SUM(AA253:AA257)</f>
        <v>0</v>
      </c>
      <c r="AK252" s="40">
        <f>SUM(AB253:AB257)</f>
        <v>0</v>
      </c>
    </row>
    <row r="253" spans="1:48" ht="12.75">
      <c r="A253" s="5" t="s">
        <v>104</v>
      </c>
      <c r="B253" s="5" t="s">
        <v>10</v>
      </c>
      <c r="C253" s="5" t="s">
        <v>158</v>
      </c>
      <c r="D253" s="5" t="s">
        <v>215</v>
      </c>
      <c r="E253" s="5" t="s">
        <v>353</v>
      </c>
      <c r="F253" s="86">
        <v>11</v>
      </c>
      <c r="G253" s="21">
        <v>0</v>
      </c>
      <c r="H253" s="21">
        <f>F253*AE253</f>
        <v>0</v>
      </c>
      <c r="I253" s="21">
        <f>J253-H253</f>
        <v>0</v>
      </c>
      <c r="J253" s="21">
        <f>F253*G253</f>
        <v>0</v>
      </c>
      <c r="K253" s="21">
        <v>0.0614</v>
      </c>
      <c r="L253" s="21">
        <f>F253*K253</f>
        <v>0.6754</v>
      </c>
      <c r="M253" s="33" t="s">
        <v>376</v>
      </c>
      <c r="P253" s="37">
        <f>IF(AG253="5",J253,0)</f>
        <v>0</v>
      </c>
      <c r="R253" s="37">
        <f>IF(AG253="1",H253,0)</f>
        <v>0</v>
      </c>
      <c r="S253" s="37">
        <f>IF(AG253="1",I253,0)</f>
        <v>0</v>
      </c>
      <c r="T253" s="37">
        <f>IF(AG253="7",H253,0)</f>
        <v>0</v>
      </c>
      <c r="U253" s="37">
        <f>IF(AG253="7",I253,0)</f>
        <v>0</v>
      </c>
      <c r="V253" s="37">
        <f>IF(AG253="2",H253,0)</f>
        <v>0</v>
      </c>
      <c r="W253" s="37">
        <f>IF(AG253="2",I253,0)</f>
        <v>0</v>
      </c>
      <c r="X253" s="37">
        <f>IF(AG253="0",J253,0)</f>
        <v>0</v>
      </c>
      <c r="Y253" s="29" t="s">
        <v>10</v>
      </c>
      <c r="Z253" s="21">
        <f>IF(AD253=0,J253,0)</f>
        <v>0</v>
      </c>
      <c r="AA253" s="21">
        <f>IF(AD253=15,J253,0)</f>
        <v>0</v>
      </c>
      <c r="AB253" s="21">
        <f>IF(AD253=21,J253,0)</f>
        <v>0</v>
      </c>
      <c r="AD253" s="37">
        <v>21</v>
      </c>
      <c r="AE253" s="37">
        <f>G253*0.298947763031878</f>
        <v>0</v>
      </c>
      <c r="AF253" s="37">
        <f>G253*(1-0.298947763031878)</f>
        <v>0</v>
      </c>
      <c r="AG253" s="33" t="s">
        <v>7</v>
      </c>
      <c r="AM253" s="37">
        <f>F253*AE253</f>
        <v>0</v>
      </c>
      <c r="AN253" s="37">
        <f>F253*AF253</f>
        <v>0</v>
      </c>
      <c r="AO253" s="38" t="s">
        <v>389</v>
      </c>
      <c r="AP253" s="38" t="s">
        <v>415</v>
      </c>
      <c r="AQ253" s="29" t="s">
        <v>426</v>
      </c>
      <c r="AS253" s="37">
        <f>AM253+AN253</f>
        <v>0</v>
      </c>
      <c r="AT253" s="37">
        <f>G253/(100-AU253)*100</f>
        <v>0</v>
      </c>
      <c r="AU253" s="37">
        <v>0</v>
      </c>
      <c r="AV253" s="37">
        <f>L253</f>
        <v>0.6754</v>
      </c>
    </row>
    <row r="254" spans="4:6" ht="12.75">
      <c r="D254" s="17" t="s">
        <v>316</v>
      </c>
      <c r="F254" s="88">
        <v>11</v>
      </c>
    </row>
    <row r="255" spans="1:48" ht="12.75">
      <c r="A255" s="5" t="s">
        <v>105</v>
      </c>
      <c r="B255" s="5" t="s">
        <v>10</v>
      </c>
      <c r="C255" s="5" t="s">
        <v>159</v>
      </c>
      <c r="D255" s="5" t="s">
        <v>217</v>
      </c>
      <c r="E255" s="5" t="s">
        <v>350</v>
      </c>
      <c r="F255" s="86">
        <v>80.9</v>
      </c>
      <c r="G255" s="21">
        <v>0</v>
      </c>
      <c r="H255" s="21">
        <f>F255*AE255</f>
        <v>0</v>
      </c>
      <c r="I255" s="21">
        <f>J255-H255</f>
        <v>0</v>
      </c>
      <c r="J255" s="21">
        <f>F255*G255</f>
        <v>0</v>
      </c>
      <c r="K255" s="21">
        <v>0</v>
      </c>
      <c r="L255" s="21">
        <f>F255*K255</f>
        <v>0</v>
      </c>
      <c r="M255" s="33" t="s">
        <v>376</v>
      </c>
      <c r="P255" s="37">
        <f>IF(AG255="5",J255,0)</f>
        <v>0</v>
      </c>
      <c r="R255" s="37">
        <f>IF(AG255="1",H255,0)</f>
        <v>0</v>
      </c>
      <c r="S255" s="37">
        <f>IF(AG255="1",I255,0)</f>
        <v>0</v>
      </c>
      <c r="T255" s="37">
        <f>IF(AG255="7",H255,0)</f>
        <v>0</v>
      </c>
      <c r="U255" s="37">
        <f>IF(AG255="7",I255,0)</f>
        <v>0</v>
      </c>
      <c r="V255" s="37">
        <f>IF(AG255="2",H255,0)</f>
        <v>0</v>
      </c>
      <c r="W255" s="37">
        <f>IF(AG255="2",I255,0)</f>
        <v>0</v>
      </c>
      <c r="X255" s="37">
        <f>IF(AG255="0",J255,0)</f>
        <v>0</v>
      </c>
      <c r="Y255" s="29" t="s">
        <v>10</v>
      </c>
      <c r="Z255" s="21">
        <f>IF(AD255=0,J255,0)</f>
        <v>0</v>
      </c>
      <c r="AA255" s="21">
        <f>IF(AD255=15,J255,0)</f>
        <v>0</v>
      </c>
      <c r="AB255" s="21">
        <f>IF(AD255=21,J255,0)</f>
        <v>0</v>
      </c>
      <c r="AD255" s="37">
        <v>21</v>
      </c>
      <c r="AE255" s="37">
        <f>G255*0.164039657573999</f>
        <v>0</v>
      </c>
      <c r="AF255" s="37">
        <f>G255*(1-0.164039657573999)</f>
        <v>0</v>
      </c>
      <c r="AG255" s="33" t="s">
        <v>7</v>
      </c>
      <c r="AM255" s="37">
        <f>F255*AE255</f>
        <v>0</v>
      </c>
      <c r="AN255" s="37">
        <f>F255*AF255</f>
        <v>0</v>
      </c>
      <c r="AO255" s="38" t="s">
        <v>389</v>
      </c>
      <c r="AP255" s="38" t="s">
        <v>415</v>
      </c>
      <c r="AQ255" s="29" t="s">
        <v>426</v>
      </c>
      <c r="AS255" s="37">
        <f>AM255+AN255</f>
        <v>0</v>
      </c>
      <c r="AT255" s="37">
        <f>G255/(100-AU255)*100</f>
        <v>0</v>
      </c>
      <c r="AU255" s="37">
        <v>0</v>
      </c>
      <c r="AV255" s="37">
        <f>L255</f>
        <v>0</v>
      </c>
    </row>
    <row r="256" spans="4:6" ht="12.75">
      <c r="D256" s="17" t="s">
        <v>317</v>
      </c>
      <c r="F256" s="88">
        <v>80.9</v>
      </c>
    </row>
    <row r="257" spans="1:48" ht="12.75">
      <c r="A257" s="5" t="s">
        <v>106</v>
      </c>
      <c r="B257" s="5" t="s">
        <v>10</v>
      </c>
      <c r="C257" s="5" t="s">
        <v>161</v>
      </c>
      <c r="D257" s="5" t="s">
        <v>221</v>
      </c>
      <c r="E257" s="5" t="s">
        <v>350</v>
      </c>
      <c r="F257" s="86">
        <v>11.7</v>
      </c>
      <c r="G257" s="21">
        <v>0</v>
      </c>
      <c r="H257" s="21">
        <f>F257*AE257</f>
        <v>0</v>
      </c>
      <c r="I257" s="21">
        <f>J257-H257</f>
        <v>0</v>
      </c>
      <c r="J257" s="21">
        <f>F257*G257</f>
        <v>0</v>
      </c>
      <c r="K257" s="21">
        <v>0.01493</v>
      </c>
      <c r="L257" s="21">
        <f>F257*K257</f>
        <v>0.174681</v>
      </c>
      <c r="M257" s="33" t="s">
        <v>376</v>
      </c>
      <c r="P257" s="37">
        <f>IF(AG257="5",J257,0)</f>
        <v>0</v>
      </c>
      <c r="R257" s="37">
        <f>IF(AG257="1",H257,0)</f>
        <v>0</v>
      </c>
      <c r="S257" s="37">
        <f>IF(AG257="1",I257,0)</f>
        <v>0</v>
      </c>
      <c r="T257" s="37">
        <f>IF(AG257="7",H257,0)</f>
        <v>0</v>
      </c>
      <c r="U257" s="37">
        <f>IF(AG257="7",I257,0)</f>
        <v>0</v>
      </c>
      <c r="V257" s="37">
        <f>IF(AG257="2",H257,0)</f>
        <v>0</v>
      </c>
      <c r="W257" s="37">
        <f>IF(AG257="2",I257,0)</f>
        <v>0</v>
      </c>
      <c r="X257" s="37">
        <f>IF(AG257="0",J257,0)</f>
        <v>0</v>
      </c>
      <c r="Y257" s="29" t="s">
        <v>10</v>
      </c>
      <c r="Z257" s="21">
        <f>IF(AD257=0,J257,0)</f>
        <v>0</v>
      </c>
      <c r="AA257" s="21">
        <f>IF(AD257=15,J257,0)</f>
        <v>0</v>
      </c>
      <c r="AB257" s="21">
        <f>IF(AD257=21,J257,0)</f>
        <v>0</v>
      </c>
      <c r="AD257" s="37">
        <v>21</v>
      </c>
      <c r="AE257" s="37">
        <f>G257*0.664333726415094</f>
        <v>0</v>
      </c>
      <c r="AF257" s="37">
        <f>G257*(1-0.664333726415094)</f>
        <v>0</v>
      </c>
      <c r="AG257" s="33" t="s">
        <v>7</v>
      </c>
      <c r="AM257" s="37">
        <f>F257*AE257</f>
        <v>0</v>
      </c>
      <c r="AN257" s="37">
        <f>F257*AF257</f>
        <v>0</v>
      </c>
      <c r="AO257" s="38" t="s">
        <v>389</v>
      </c>
      <c r="AP257" s="38" t="s">
        <v>415</v>
      </c>
      <c r="AQ257" s="29" t="s">
        <v>426</v>
      </c>
      <c r="AS257" s="37">
        <f>AM257+AN257</f>
        <v>0</v>
      </c>
      <c r="AT257" s="37">
        <f>G257/(100-AU257)*100</f>
        <v>0</v>
      </c>
      <c r="AU257" s="37">
        <v>0</v>
      </c>
      <c r="AV257" s="37">
        <f>L257</f>
        <v>0.174681</v>
      </c>
    </row>
    <row r="258" spans="4:6" ht="12.75">
      <c r="D258" s="17" t="s">
        <v>318</v>
      </c>
      <c r="F258" s="88">
        <v>11.7</v>
      </c>
    </row>
    <row r="259" spans="1:37" ht="12.75">
      <c r="A259" s="4"/>
      <c r="B259" s="14" t="s">
        <v>10</v>
      </c>
      <c r="C259" s="14" t="s">
        <v>162</v>
      </c>
      <c r="D259" s="14" t="s">
        <v>223</v>
      </c>
      <c r="E259" s="4" t="s">
        <v>6</v>
      </c>
      <c r="F259" s="4" t="s">
        <v>6</v>
      </c>
      <c r="G259" s="4" t="s">
        <v>6</v>
      </c>
      <c r="H259" s="40">
        <f>SUM(H260:H262)</f>
        <v>0</v>
      </c>
      <c r="I259" s="40">
        <f>SUM(I260:I262)</f>
        <v>0</v>
      </c>
      <c r="J259" s="40">
        <f>H259+I259</f>
        <v>0</v>
      </c>
      <c r="K259" s="29"/>
      <c r="L259" s="40">
        <f>SUM(L260:L262)</f>
        <v>0.12477299999999997</v>
      </c>
      <c r="M259" s="29"/>
      <c r="Y259" s="29" t="s">
        <v>10</v>
      </c>
      <c r="AI259" s="40">
        <f>SUM(Z260:Z262)</f>
        <v>0</v>
      </c>
      <c r="AJ259" s="40">
        <f>SUM(AA260:AA262)</f>
        <v>0</v>
      </c>
      <c r="AK259" s="40">
        <f>SUM(AB260:AB262)</f>
        <v>0</v>
      </c>
    </row>
    <row r="260" spans="1:48" ht="12.75">
      <c r="A260" s="5" t="s">
        <v>107</v>
      </c>
      <c r="B260" s="5" t="s">
        <v>10</v>
      </c>
      <c r="C260" s="5" t="s">
        <v>163</v>
      </c>
      <c r="D260" s="5" t="s">
        <v>224</v>
      </c>
      <c r="E260" s="5" t="s">
        <v>350</v>
      </c>
      <c r="F260" s="86">
        <v>20.9</v>
      </c>
      <c r="G260" s="21">
        <v>0</v>
      </c>
      <c r="H260" s="21">
        <f>F260*AE260</f>
        <v>0</v>
      </c>
      <c r="I260" s="21">
        <f>J260-H260</f>
        <v>0</v>
      </c>
      <c r="J260" s="21">
        <f>F260*G260</f>
        <v>0</v>
      </c>
      <c r="K260" s="21">
        <v>0.00181</v>
      </c>
      <c r="L260" s="21">
        <f>F260*K260</f>
        <v>0.037828999999999995</v>
      </c>
      <c r="M260" s="33" t="s">
        <v>376</v>
      </c>
      <c r="P260" s="37">
        <f>IF(AG260="5",J260,0)</f>
        <v>0</v>
      </c>
      <c r="R260" s="37">
        <f>IF(AG260="1",H260,0)</f>
        <v>0</v>
      </c>
      <c r="S260" s="37">
        <f>IF(AG260="1",I260,0)</f>
        <v>0</v>
      </c>
      <c r="T260" s="37">
        <f>IF(AG260="7",H260,0)</f>
        <v>0</v>
      </c>
      <c r="U260" s="37">
        <f>IF(AG260="7",I260,0)</f>
        <v>0</v>
      </c>
      <c r="V260" s="37">
        <f>IF(AG260="2",H260,0)</f>
        <v>0</v>
      </c>
      <c r="W260" s="37">
        <f>IF(AG260="2",I260,0)</f>
        <v>0</v>
      </c>
      <c r="X260" s="37">
        <f>IF(AG260="0",J260,0)</f>
        <v>0</v>
      </c>
      <c r="Y260" s="29" t="s">
        <v>10</v>
      </c>
      <c r="Z260" s="21">
        <f>IF(AD260=0,J260,0)</f>
        <v>0</v>
      </c>
      <c r="AA260" s="21">
        <f>IF(AD260=15,J260,0)</f>
        <v>0</v>
      </c>
      <c r="AB260" s="21">
        <f>IF(AD260=21,J260,0)</f>
        <v>0</v>
      </c>
      <c r="AD260" s="37">
        <v>21</v>
      </c>
      <c r="AE260" s="37">
        <f>G260*0</f>
        <v>0</v>
      </c>
      <c r="AF260" s="37">
        <f>G260*(1-0)</f>
        <v>0</v>
      </c>
      <c r="AG260" s="33" t="s">
        <v>13</v>
      </c>
      <c r="AM260" s="37">
        <f>F260*AE260</f>
        <v>0</v>
      </c>
      <c r="AN260" s="37">
        <f>F260*AF260</f>
        <v>0</v>
      </c>
      <c r="AO260" s="38" t="s">
        <v>390</v>
      </c>
      <c r="AP260" s="38" t="s">
        <v>416</v>
      </c>
      <c r="AQ260" s="29" t="s">
        <v>426</v>
      </c>
      <c r="AS260" s="37">
        <f>AM260+AN260</f>
        <v>0</v>
      </c>
      <c r="AT260" s="37">
        <f>G260/(100-AU260)*100</f>
        <v>0</v>
      </c>
      <c r="AU260" s="37">
        <v>0</v>
      </c>
      <c r="AV260" s="37">
        <f>L260</f>
        <v>0.037828999999999995</v>
      </c>
    </row>
    <row r="261" spans="4:6" ht="12.75">
      <c r="D261" s="17" t="s">
        <v>319</v>
      </c>
      <c r="F261" s="88">
        <v>20.9</v>
      </c>
    </row>
    <row r="262" spans="1:48" ht="12.75">
      <c r="A262" s="5" t="s">
        <v>108</v>
      </c>
      <c r="B262" s="5" t="s">
        <v>10</v>
      </c>
      <c r="C262" s="5" t="s">
        <v>164</v>
      </c>
      <c r="D262" s="5" t="s">
        <v>226</v>
      </c>
      <c r="E262" s="5" t="s">
        <v>350</v>
      </c>
      <c r="F262" s="86">
        <v>20.9</v>
      </c>
      <c r="G262" s="21">
        <v>0</v>
      </c>
      <c r="H262" s="21">
        <f>F262*AE262</f>
        <v>0</v>
      </c>
      <c r="I262" s="21">
        <f>J262-H262</f>
        <v>0</v>
      </c>
      <c r="J262" s="21">
        <f>F262*G262</f>
        <v>0</v>
      </c>
      <c r="K262" s="21">
        <v>0.00416</v>
      </c>
      <c r="L262" s="21">
        <f>F262*K262</f>
        <v>0.08694399999999998</v>
      </c>
      <c r="M262" s="33" t="s">
        <v>376</v>
      </c>
      <c r="P262" s="37">
        <f>IF(AG262="5",J262,0)</f>
        <v>0</v>
      </c>
      <c r="R262" s="37">
        <f>IF(AG262="1",H262,0)</f>
        <v>0</v>
      </c>
      <c r="S262" s="37">
        <f>IF(AG262="1",I262,0)</f>
        <v>0</v>
      </c>
      <c r="T262" s="37">
        <f>IF(AG262="7",H262,0)</f>
        <v>0</v>
      </c>
      <c r="U262" s="37">
        <f>IF(AG262="7",I262,0)</f>
        <v>0</v>
      </c>
      <c r="V262" s="37">
        <f>IF(AG262="2",H262,0)</f>
        <v>0</v>
      </c>
      <c r="W262" s="37">
        <f>IF(AG262="2",I262,0)</f>
        <v>0</v>
      </c>
      <c r="X262" s="37">
        <f>IF(AG262="0",J262,0)</f>
        <v>0</v>
      </c>
      <c r="Y262" s="29" t="s">
        <v>10</v>
      </c>
      <c r="Z262" s="21">
        <f>IF(AD262=0,J262,0)</f>
        <v>0</v>
      </c>
      <c r="AA262" s="21">
        <f>IF(AD262=15,J262,0)</f>
        <v>0</v>
      </c>
      <c r="AB262" s="21">
        <f>IF(AD262=21,J262,0)</f>
        <v>0</v>
      </c>
      <c r="AD262" s="37">
        <v>21</v>
      </c>
      <c r="AE262" s="37">
        <f>G262*0.591341679079215</f>
        <v>0</v>
      </c>
      <c r="AF262" s="37">
        <f>G262*(1-0.591341679079215)</f>
        <v>0</v>
      </c>
      <c r="AG262" s="33" t="s">
        <v>13</v>
      </c>
      <c r="AM262" s="37">
        <f>F262*AE262</f>
        <v>0</v>
      </c>
      <c r="AN262" s="37">
        <f>F262*AF262</f>
        <v>0</v>
      </c>
      <c r="AO262" s="38" t="s">
        <v>390</v>
      </c>
      <c r="AP262" s="38" t="s">
        <v>416</v>
      </c>
      <c r="AQ262" s="29" t="s">
        <v>426</v>
      </c>
      <c r="AS262" s="37">
        <f>AM262+AN262</f>
        <v>0</v>
      </c>
      <c r="AT262" s="37">
        <f>G262/(100-AU262)*100</f>
        <v>0</v>
      </c>
      <c r="AU262" s="37">
        <v>0</v>
      </c>
      <c r="AV262" s="37">
        <f>L262</f>
        <v>0.08694399999999998</v>
      </c>
    </row>
    <row r="263" spans="4:6" ht="12.75">
      <c r="D263" s="17" t="s">
        <v>319</v>
      </c>
      <c r="F263" s="88">
        <v>20.9</v>
      </c>
    </row>
    <row r="264" spans="1:37" ht="12.75">
      <c r="A264" s="4"/>
      <c r="B264" s="14" t="s">
        <v>10</v>
      </c>
      <c r="C264" s="14" t="s">
        <v>165</v>
      </c>
      <c r="D264" s="14" t="s">
        <v>227</v>
      </c>
      <c r="E264" s="4" t="s">
        <v>6</v>
      </c>
      <c r="F264" s="4" t="s">
        <v>6</v>
      </c>
      <c r="G264" s="4" t="s">
        <v>6</v>
      </c>
      <c r="H264" s="40">
        <f>SUM(H265:H267)</f>
        <v>0</v>
      </c>
      <c r="I264" s="40">
        <f>SUM(I265:I267)</f>
        <v>0</v>
      </c>
      <c r="J264" s="40">
        <f>H264+I264</f>
        <v>0</v>
      </c>
      <c r="K264" s="29"/>
      <c r="L264" s="40">
        <f>SUM(L265:L267)</f>
        <v>0.87</v>
      </c>
      <c r="M264" s="29"/>
      <c r="Y264" s="29" t="s">
        <v>10</v>
      </c>
      <c r="AI264" s="40">
        <f>SUM(Z265:Z267)</f>
        <v>0</v>
      </c>
      <c r="AJ264" s="40">
        <f>SUM(AA265:AA267)</f>
        <v>0</v>
      </c>
      <c r="AK264" s="40">
        <f>SUM(AB265:AB267)</f>
        <v>0</v>
      </c>
    </row>
    <row r="265" spans="1:48" ht="12.75">
      <c r="A265" s="5" t="s">
        <v>109</v>
      </c>
      <c r="B265" s="5" t="s">
        <v>10</v>
      </c>
      <c r="C265" s="5" t="s">
        <v>167</v>
      </c>
      <c r="D265" s="5" t="s">
        <v>230</v>
      </c>
      <c r="E265" s="5" t="s">
        <v>355</v>
      </c>
      <c r="F265" s="86">
        <v>9</v>
      </c>
      <c r="G265" s="21">
        <v>0</v>
      </c>
      <c r="H265" s="21">
        <f>F265*AE265</f>
        <v>0</v>
      </c>
      <c r="I265" s="21">
        <f>J265-H265</f>
        <v>0</v>
      </c>
      <c r="J265" s="21">
        <f>F265*G265</f>
        <v>0</v>
      </c>
      <c r="K265" s="21">
        <v>0.08</v>
      </c>
      <c r="L265" s="21">
        <f>F265*K265</f>
        <v>0.72</v>
      </c>
      <c r="M265" s="33"/>
      <c r="P265" s="37">
        <f>IF(AG265="5",J265,0)</f>
        <v>0</v>
      </c>
      <c r="R265" s="37">
        <f>IF(AG265="1",H265,0)</f>
        <v>0</v>
      </c>
      <c r="S265" s="37">
        <f>IF(AG265="1",I265,0)</f>
        <v>0</v>
      </c>
      <c r="T265" s="37">
        <f>IF(AG265="7",H265,0)</f>
        <v>0</v>
      </c>
      <c r="U265" s="37">
        <f>IF(AG265="7",I265,0)</f>
        <v>0</v>
      </c>
      <c r="V265" s="37">
        <f>IF(AG265="2",H265,0)</f>
        <v>0</v>
      </c>
      <c r="W265" s="37">
        <f>IF(AG265="2",I265,0)</f>
        <v>0</v>
      </c>
      <c r="X265" s="37">
        <f>IF(AG265="0",J265,0)</f>
        <v>0</v>
      </c>
      <c r="Y265" s="29" t="s">
        <v>10</v>
      </c>
      <c r="Z265" s="21">
        <f>IF(AD265=0,J265,0)</f>
        <v>0</v>
      </c>
      <c r="AA265" s="21">
        <f>IF(AD265=15,J265,0)</f>
        <v>0</v>
      </c>
      <c r="AB265" s="21">
        <f>IF(AD265=21,J265,0)</f>
        <v>0</v>
      </c>
      <c r="AD265" s="37">
        <v>21</v>
      </c>
      <c r="AE265" s="37">
        <f>G265*0</f>
        <v>0</v>
      </c>
      <c r="AF265" s="37">
        <f>G265*(1-0)</f>
        <v>0</v>
      </c>
      <c r="AG265" s="33" t="s">
        <v>13</v>
      </c>
      <c r="AM265" s="37">
        <f>F265*AE265</f>
        <v>0</v>
      </c>
      <c r="AN265" s="37">
        <f>F265*AF265</f>
        <v>0</v>
      </c>
      <c r="AO265" s="38" t="s">
        <v>391</v>
      </c>
      <c r="AP265" s="38" t="s">
        <v>416</v>
      </c>
      <c r="AQ265" s="29" t="s">
        <v>426</v>
      </c>
      <c r="AS265" s="37">
        <f>AM265+AN265</f>
        <v>0</v>
      </c>
      <c r="AT265" s="37">
        <f>G265/(100-AU265)*100</f>
        <v>0</v>
      </c>
      <c r="AU265" s="37">
        <v>0</v>
      </c>
      <c r="AV265" s="37">
        <f>L265</f>
        <v>0.72</v>
      </c>
    </row>
    <row r="266" spans="4:6" ht="12.75">
      <c r="D266" s="17" t="s">
        <v>15</v>
      </c>
      <c r="F266" s="88">
        <v>9</v>
      </c>
    </row>
    <row r="267" spans="1:48" ht="12.75">
      <c r="A267" s="5" t="s">
        <v>110</v>
      </c>
      <c r="B267" s="5" t="s">
        <v>10</v>
      </c>
      <c r="C267" s="5" t="s">
        <v>167</v>
      </c>
      <c r="D267" s="5" t="s">
        <v>231</v>
      </c>
      <c r="E267" s="5" t="s">
        <v>355</v>
      </c>
      <c r="F267" s="86">
        <v>2</v>
      </c>
      <c r="G267" s="21">
        <v>0</v>
      </c>
      <c r="H267" s="21">
        <f>F267*AE267</f>
        <v>0</v>
      </c>
      <c r="I267" s="21">
        <f>J267-H267</f>
        <v>0</v>
      </c>
      <c r="J267" s="21">
        <f>F267*G267</f>
        <v>0</v>
      </c>
      <c r="K267" s="21">
        <v>0.075</v>
      </c>
      <c r="L267" s="21">
        <f>F267*K267</f>
        <v>0.15</v>
      </c>
      <c r="M267" s="33"/>
      <c r="P267" s="37">
        <f>IF(AG267="5",J267,0)</f>
        <v>0</v>
      </c>
      <c r="R267" s="37">
        <f>IF(AG267="1",H267,0)</f>
        <v>0</v>
      </c>
      <c r="S267" s="37">
        <f>IF(AG267="1",I267,0)</f>
        <v>0</v>
      </c>
      <c r="T267" s="37">
        <f>IF(AG267="7",H267,0)</f>
        <v>0</v>
      </c>
      <c r="U267" s="37">
        <f>IF(AG267="7",I267,0)</f>
        <v>0</v>
      </c>
      <c r="V267" s="37">
        <f>IF(AG267="2",H267,0)</f>
        <v>0</v>
      </c>
      <c r="W267" s="37">
        <f>IF(AG267="2",I267,0)</f>
        <v>0</v>
      </c>
      <c r="X267" s="37">
        <f>IF(AG267="0",J267,0)</f>
        <v>0</v>
      </c>
      <c r="Y267" s="29" t="s">
        <v>10</v>
      </c>
      <c r="Z267" s="21">
        <f>IF(AD267=0,J267,0)</f>
        <v>0</v>
      </c>
      <c r="AA267" s="21">
        <f>IF(AD267=15,J267,0)</f>
        <v>0</v>
      </c>
      <c r="AB267" s="21">
        <f>IF(AD267=21,J267,0)</f>
        <v>0</v>
      </c>
      <c r="AD267" s="37">
        <v>21</v>
      </c>
      <c r="AE267" s="37">
        <f>G267*0</f>
        <v>0</v>
      </c>
      <c r="AF267" s="37">
        <f>G267*(1-0)</f>
        <v>0</v>
      </c>
      <c r="AG267" s="33" t="s">
        <v>13</v>
      </c>
      <c r="AM267" s="37">
        <f>F267*AE267</f>
        <v>0</v>
      </c>
      <c r="AN267" s="37">
        <f>F267*AF267</f>
        <v>0</v>
      </c>
      <c r="AO267" s="38" t="s">
        <v>391</v>
      </c>
      <c r="AP267" s="38" t="s">
        <v>416</v>
      </c>
      <c r="AQ267" s="29" t="s">
        <v>426</v>
      </c>
      <c r="AS267" s="37">
        <f>AM267+AN267</f>
        <v>0</v>
      </c>
      <c r="AT267" s="37">
        <f>G267/(100-AU267)*100</f>
        <v>0</v>
      </c>
      <c r="AU267" s="37">
        <v>0</v>
      </c>
      <c r="AV267" s="37">
        <f>L267</f>
        <v>0.15</v>
      </c>
    </row>
    <row r="268" spans="4:6" ht="12.75">
      <c r="D268" s="17" t="s">
        <v>8</v>
      </c>
      <c r="F268" s="88">
        <v>2</v>
      </c>
    </row>
    <row r="269" spans="1:37" ht="12.75">
      <c r="A269" s="4"/>
      <c r="B269" s="14" t="s">
        <v>10</v>
      </c>
      <c r="C269" s="14" t="s">
        <v>173</v>
      </c>
      <c r="D269" s="14" t="s">
        <v>237</v>
      </c>
      <c r="E269" s="4" t="s">
        <v>6</v>
      </c>
      <c r="F269" s="4" t="s">
        <v>6</v>
      </c>
      <c r="G269" s="4" t="s">
        <v>6</v>
      </c>
      <c r="H269" s="40">
        <f>SUM(H270:H272)</f>
        <v>0</v>
      </c>
      <c r="I269" s="40">
        <f>SUM(I270:I272)</f>
        <v>0</v>
      </c>
      <c r="J269" s="40">
        <f>H269+I269</f>
        <v>0</v>
      </c>
      <c r="K269" s="29"/>
      <c r="L269" s="40">
        <f>SUM(L270:L272)</f>
        <v>0.018295199999999998</v>
      </c>
      <c r="M269" s="29"/>
      <c r="Y269" s="29" t="s">
        <v>10</v>
      </c>
      <c r="AI269" s="40">
        <f>SUM(Z270:Z272)</f>
        <v>0</v>
      </c>
      <c r="AJ269" s="40">
        <f>SUM(AA270:AA272)</f>
        <v>0</v>
      </c>
      <c r="AK269" s="40">
        <f>SUM(AB270:AB272)</f>
        <v>0</v>
      </c>
    </row>
    <row r="270" spans="1:48" ht="12.75">
      <c r="A270" s="5" t="s">
        <v>111</v>
      </c>
      <c r="B270" s="5" t="s">
        <v>10</v>
      </c>
      <c r="C270" s="5" t="s">
        <v>174</v>
      </c>
      <c r="D270" s="5" t="s">
        <v>238</v>
      </c>
      <c r="E270" s="5" t="s">
        <v>351</v>
      </c>
      <c r="F270" s="86">
        <v>27.72</v>
      </c>
      <c r="G270" s="21">
        <v>0</v>
      </c>
      <c r="H270" s="21">
        <f>F270*AE270</f>
        <v>0</v>
      </c>
      <c r="I270" s="21">
        <f>J270-H270</f>
        <v>0</v>
      </c>
      <c r="J270" s="21">
        <f>F270*G270</f>
        <v>0</v>
      </c>
      <c r="K270" s="21">
        <v>0.00018</v>
      </c>
      <c r="L270" s="21">
        <f>F270*K270</f>
        <v>0.0049896</v>
      </c>
      <c r="M270" s="33" t="s">
        <v>376</v>
      </c>
      <c r="P270" s="37">
        <f>IF(AG270="5",J270,0)</f>
        <v>0</v>
      </c>
      <c r="R270" s="37">
        <f>IF(AG270="1",H270,0)</f>
        <v>0</v>
      </c>
      <c r="S270" s="37">
        <f>IF(AG270="1",I270,0)</f>
        <v>0</v>
      </c>
      <c r="T270" s="37">
        <f>IF(AG270="7",H270,0)</f>
        <v>0</v>
      </c>
      <c r="U270" s="37">
        <f>IF(AG270="7",I270,0)</f>
        <v>0</v>
      </c>
      <c r="V270" s="37">
        <f>IF(AG270="2",H270,0)</f>
        <v>0</v>
      </c>
      <c r="W270" s="37">
        <f>IF(AG270="2",I270,0)</f>
        <v>0</v>
      </c>
      <c r="X270" s="37">
        <f>IF(AG270="0",J270,0)</f>
        <v>0</v>
      </c>
      <c r="Y270" s="29" t="s">
        <v>10</v>
      </c>
      <c r="Z270" s="21">
        <f>IF(AD270=0,J270,0)</f>
        <v>0</v>
      </c>
      <c r="AA270" s="21">
        <f>IF(AD270=15,J270,0)</f>
        <v>0</v>
      </c>
      <c r="AB270" s="21">
        <f>IF(AD270=21,J270,0)</f>
        <v>0</v>
      </c>
      <c r="AD270" s="37">
        <v>21</v>
      </c>
      <c r="AE270" s="37">
        <f>G270*0.379593415384615</f>
        <v>0</v>
      </c>
      <c r="AF270" s="37">
        <f>G270*(1-0.379593415384615)</f>
        <v>0</v>
      </c>
      <c r="AG270" s="33" t="s">
        <v>13</v>
      </c>
      <c r="AM270" s="37">
        <f>F270*AE270</f>
        <v>0</v>
      </c>
      <c r="AN270" s="37">
        <f>F270*AF270</f>
        <v>0</v>
      </c>
      <c r="AO270" s="38" t="s">
        <v>393</v>
      </c>
      <c r="AP270" s="38" t="s">
        <v>417</v>
      </c>
      <c r="AQ270" s="29" t="s">
        <v>426</v>
      </c>
      <c r="AS270" s="37">
        <f>AM270+AN270</f>
        <v>0</v>
      </c>
      <c r="AT270" s="37">
        <f>G270/(100-AU270)*100</f>
        <v>0</v>
      </c>
      <c r="AU270" s="37">
        <v>0</v>
      </c>
      <c r="AV270" s="37">
        <f>L270</f>
        <v>0.0049896</v>
      </c>
    </row>
    <row r="271" spans="4:6" ht="12.75">
      <c r="D271" s="17" t="s">
        <v>320</v>
      </c>
      <c r="F271" s="88">
        <v>27.72</v>
      </c>
    </row>
    <row r="272" spans="1:48" ht="12.75">
      <c r="A272" s="5" t="s">
        <v>112</v>
      </c>
      <c r="B272" s="5" t="s">
        <v>10</v>
      </c>
      <c r="C272" s="5" t="s">
        <v>175</v>
      </c>
      <c r="D272" s="5" t="s">
        <v>240</v>
      </c>
      <c r="E272" s="5" t="s">
        <v>351</v>
      </c>
      <c r="F272" s="86">
        <v>27.72</v>
      </c>
      <c r="G272" s="21">
        <v>0</v>
      </c>
      <c r="H272" s="21">
        <f>F272*AE272</f>
        <v>0</v>
      </c>
      <c r="I272" s="21">
        <f>J272-H272</f>
        <v>0</v>
      </c>
      <c r="J272" s="21">
        <f>F272*G272</f>
        <v>0</v>
      </c>
      <c r="K272" s="21">
        <v>0.00048</v>
      </c>
      <c r="L272" s="21">
        <f>F272*K272</f>
        <v>0.013305599999999999</v>
      </c>
      <c r="M272" s="33" t="s">
        <v>376</v>
      </c>
      <c r="P272" s="37">
        <f>IF(AG272="5",J272,0)</f>
        <v>0</v>
      </c>
      <c r="R272" s="37">
        <f>IF(AG272="1",H272,0)</f>
        <v>0</v>
      </c>
      <c r="S272" s="37">
        <f>IF(AG272="1",I272,0)</f>
        <v>0</v>
      </c>
      <c r="T272" s="37">
        <f>IF(AG272="7",H272,0)</f>
        <v>0</v>
      </c>
      <c r="U272" s="37">
        <f>IF(AG272="7",I272,0)</f>
        <v>0</v>
      </c>
      <c r="V272" s="37">
        <f>IF(AG272="2",H272,0)</f>
        <v>0</v>
      </c>
      <c r="W272" s="37">
        <f>IF(AG272="2",I272,0)</f>
        <v>0</v>
      </c>
      <c r="X272" s="37">
        <f>IF(AG272="0",J272,0)</f>
        <v>0</v>
      </c>
      <c r="Y272" s="29" t="s">
        <v>10</v>
      </c>
      <c r="Z272" s="21">
        <f>IF(AD272=0,J272,0)</f>
        <v>0</v>
      </c>
      <c r="AA272" s="21">
        <f>IF(AD272=15,J272,0)</f>
        <v>0</v>
      </c>
      <c r="AB272" s="21">
        <f>IF(AD272=21,J272,0)</f>
        <v>0</v>
      </c>
      <c r="AD272" s="37">
        <v>21</v>
      </c>
      <c r="AE272" s="37">
        <f>G272*0.339617326829268</f>
        <v>0</v>
      </c>
      <c r="AF272" s="37">
        <f>G272*(1-0.339617326829268)</f>
        <v>0</v>
      </c>
      <c r="AG272" s="33" t="s">
        <v>13</v>
      </c>
      <c r="AM272" s="37">
        <f>F272*AE272</f>
        <v>0</v>
      </c>
      <c r="AN272" s="37">
        <f>F272*AF272</f>
        <v>0</v>
      </c>
      <c r="AO272" s="38" t="s">
        <v>393</v>
      </c>
      <c r="AP272" s="38" t="s">
        <v>417</v>
      </c>
      <c r="AQ272" s="29" t="s">
        <v>426</v>
      </c>
      <c r="AS272" s="37">
        <f>AM272+AN272</f>
        <v>0</v>
      </c>
      <c r="AT272" s="37">
        <f>G272/(100-AU272)*100</f>
        <v>0</v>
      </c>
      <c r="AU272" s="37">
        <v>0</v>
      </c>
      <c r="AV272" s="37">
        <f>L272</f>
        <v>0.013305599999999999</v>
      </c>
    </row>
    <row r="273" spans="4:6" ht="12.75">
      <c r="D273" s="17" t="s">
        <v>320</v>
      </c>
      <c r="F273" s="88">
        <v>27.72</v>
      </c>
    </row>
    <row r="274" spans="1:37" ht="12.75">
      <c r="A274" s="4"/>
      <c r="B274" s="14" t="s">
        <v>10</v>
      </c>
      <c r="C274" s="14" t="s">
        <v>176</v>
      </c>
      <c r="D274" s="14" t="s">
        <v>241</v>
      </c>
      <c r="E274" s="4" t="s">
        <v>6</v>
      </c>
      <c r="F274" s="4" t="s">
        <v>6</v>
      </c>
      <c r="G274" s="4" t="s">
        <v>6</v>
      </c>
      <c r="H274" s="40">
        <f>SUM(H275:H277)</f>
        <v>0</v>
      </c>
      <c r="I274" s="40">
        <f>SUM(I275:I277)</f>
        <v>0</v>
      </c>
      <c r="J274" s="40">
        <f>H274+I274</f>
        <v>0</v>
      </c>
      <c r="K274" s="29"/>
      <c r="L274" s="40">
        <f>SUM(L275:L277)</f>
        <v>0.020222999999999998</v>
      </c>
      <c r="M274" s="29"/>
      <c r="Y274" s="29" t="s">
        <v>10</v>
      </c>
      <c r="AI274" s="40">
        <f>SUM(Z275:Z277)</f>
        <v>0</v>
      </c>
      <c r="AJ274" s="40">
        <f>SUM(AA275:AA277)</f>
        <v>0</v>
      </c>
      <c r="AK274" s="40">
        <f>SUM(AB275:AB277)</f>
        <v>0</v>
      </c>
    </row>
    <row r="275" spans="1:48" ht="12.75">
      <c r="A275" s="5" t="s">
        <v>113</v>
      </c>
      <c r="B275" s="5" t="s">
        <v>10</v>
      </c>
      <c r="C275" s="5" t="s">
        <v>177</v>
      </c>
      <c r="D275" s="5" t="s">
        <v>242</v>
      </c>
      <c r="E275" s="5" t="s">
        <v>351</v>
      </c>
      <c r="F275" s="86">
        <v>26.91</v>
      </c>
      <c r="G275" s="21">
        <v>0</v>
      </c>
      <c r="H275" s="21">
        <f>F275*AE275</f>
        <v>0</v>
      </c>
      <c r="I275" s="21">
        <f>J275-H275</f>
        <v>0</v>
      </c>
      <c r="J275" s="21">
        <f>F275*G275</f>
        <v>0</v>
      </c>
      <c r="K275" s="21">
        <v>0.0003</v>
      </c>
      <c r="L275" s="21">
        <f>F275*K275</f>
        <v>0.008072999999999999</v>
      </c>
      <c r="M275" s="33" t="s">
        <v>376</v>
      </c>
      <c r="P275" s="37">
        <f>IF(AG275="5",J275,0)</f>
        <v>0</v>
      </c>
      <c r="R275" s="37">
        <f>IF(AG275="1",H275,0)</f>
        <v>0</v>
      </c>
      <c r="S275" s="37">
        <f>IF(AG275="1",I275,0)</f>
        <v>0</v>
      </c>
      <c r="T275" s="37">
        <f>IF(AG275="7",H275,0)</f>
        <v>0</v>
      </c>
      <c r="U275" s="37">
        <f>IF(AG275="7",I275,0)</f>
        <v>0</v>
      </c>
      <c r="V275" s="37">
        <f>IF(AG275="2",H275,0)</f>
        <v>0</v>
      </c>
      <c r="W275" s="37">
        <f>IF(AG275="2",I275,0)</f>
        <v>0</v>
      </c>
      <c r="X275" s="37">
        <f>IF(AG275="0",J275,0)</f>
        <v>0</v>
      </c>
      <c r="Y275" s="29" t="s">
        <v>10</v>
      </c>
      <c r="Z275" s="21">
        <f>IF(AD275=0,J275,0)</f>
        <v>0</v>
      </c>
      <c r="AA275" s="21">
        <f>IF(AD275=15,J275,0)</f>
        <v>0</v>
      </c>
      <c r="AB275" s="21">
        <f>IF(AD275=21,J275,0)</f>
        <v>0</v>
      </c>
      <c r="AD275" s="37">
        <v>21</v>
      </c>
      <c r="AE275" s="37">
        <f>G275*0.60709793398533</f>
        <v>0</v>
      </c>
      <c r="AF275" s="37">
        <f>G275*(1-0.60709793398533)</f>
        <v>0</v>
      </c>
      <c r="AG275" s="33" t="s">
        <v>13</v>
      </c>
      <c r="AM275" s="37">
        <f>F275*AE275</f>
        <v>0</v>
      </c>
      <c r="AN275" s="37">
        <f>F275*AF275</f>
        <v>0</v>
      </c>
      <c r="AO275" s="38" t="s">
        <v>394</v>
      </c>
      <c r="AP275" s="38" t="s">
        <v>417</v>
      </c>
      <c r="AQ275" s="29" t="s">
        <v>426</v>
      </c>
      <c r="AS275" s="37">
        <f>AM275+AN275</f>
        <v>0</v>
      </c>
      <c r="AT275" s="37">
        <f>G275/(100-AU275)*100</f>
        <v>0</v>
      </c>
      <c r="AU275" s="37">
        <v>0</v>
      </c>
      <c r="AV275" s="37">
        <f>L275</f>
        <v>0.008072999999999999</v>
      </c>
    </row>
    <row r="276" spans="4:6" ht="12.75">
      <c r="D276" s="17" t="s">
        <v>321</v>
      </c>
      <c r="F276" s="88">
        <v>26.91</v>
      </c>
    </row>
    <row r="277" spans="1:48" ht="12.75">
      <c r="A277" s="6" t="s">
        <v>114</v>
      </c>
      <c r="B277" s="6" t="s">
        <v>10</v>
      </c>
      <c r="C277" s="6" t="s">
        <v>178</v>
      </c>
      <c r="D277" s="6" t="s">
        <v>244</v>
      </c>
      <c r="E277" s="6" t="s">
        <v>353</v>
      </c>
      <c r="F277" s="87">
        <v>9</v>
      </c>
      <c r="G277" s="22">
        <v>0</v>
      </c>
      <c r="H277" s="22">
        <f>F277*AE277</f>
        <v>0</v>
      </c>
      <c r="I277" s="22">
        <f>J277-H277</f>
        <v>0</v>
      </c>
      <c r="J277" s="22">
        <f>F277*G277</f>
        <v>0</v>
      </c>
      <c r="K277" s="22">
        <v>0.00135</v>
      </c>
      <c r="L277" s="22">
        <f>F277*K277</f>
        <v>0.012150000000000001</v>
      </c>
      <c r="M277" s="34" t="s">
        <v>376</v>
      </c>
      <c r="P277" s="37">
        <f>IF(AG277="5",J277,0)</f>
        <v>0</v>
      </c>
      <c r="R277" s="37">
        <f>IF(AG277="1",H277,0)</f>
        <v>0</v>
      </c>
      <c r="S277" s="37">
        <f>IF(AG277="1",I277,0)</f>
        <v>0</v>
      </c>
      <c r="T277" s="37">
        <f>IF(AG277="7",H277,0)</f>
        <v>0</v>
      </c>
      <c r="U277" s="37">
        <f>IF(AG277="7",I277,0)</f>
        <v>0</v>
      </c>
      <c r="V277" s="37">
        <f>IF(AG277="2",H277,0)</f>
        <v>0</v>
      </c>
      <c r="W277" s="37">
        <f>IF(AG277="2",I277,0)</f>
        <v>0</v>
      </c>
      <c r="X277" s="37">
        <f>IF(AG277="0",J277,0)</f>
        <v>0</v>
      </c>
      <c r="Y277" s="29" t="s">
        <v>10</v>
      </c>
      <c r="Z277" s="22">
        <f>IF(AD277=0,J277,0)</f>
        <v>0</v>
      </c>
      <c r="AA277" s="22">
        <f>IF(AD277=15,J277,0)</f>
        <v>0</v>
      </c>
      <c r="AB277" s="22">
        <f>IF(AD277=21,J277,0)</f>
        <v>0</v>
      </c>
      <c r="AD277" s="37">
        <v>21</v>
      </c>
      <c r="AE277" s="37">
        <f>G277*1</f>
        <v>0</v>
      </c>
      <c r="AF277" s="37">
        <f>G277*(1-1)</f>
        <v>0</v>
      </c>
      <c r="AG277" s="34" t="s">
        <v>13</v>
      </c>
      <c r="AM277" s="37">
        <f>F277*AE277</f>
        <v>0</v>
      </c>
      <c r="AN277" s="37">
        <f>F277*AF277</f>
        <v>0</v>
      </c>
      <c r="AO277" s="38" t="s">
        <v>394</v>
      </c>
      <c r="AP277" s="38" t="s">
        <v>417</v>
      </c>
      <c r="AQ277" s="29" t="s">
        <v>426</v>
      </c>
      <c r="AS277" s="37">
        <f>AM277+AN277</f>
        <v>0</v>
      </c>
      <c r="AT277" s="37">
        <f>G277/(100-AU277)*100</f>
        <v>0</v>
      </c>
      <c r="AU277" s="37">
        <v>0</v>
      </c>
      <c r="AV277" s="37">
        <f>L277</f>
        <v>0.012150000000000001</v>
      </c>
    </row>
    <row r="278" spans="4:6" ht="12.75">
      <c r="D278" s="17" t="s">
        <v>15</v>
      </c>
      <c r="F278" s="88">
        <v>9</v>
      </c>
    </row>
    <row r="279" spans="1:37" ht="12.75">
      <c r="A279" s="4"/>
      <c r="B279" s="14" t="s">
        <v>10</v>
      </c>
      <c r="C279" s="14" t="s">
        <v>102</v>
      </c>
      <c r="D279" s="14" t="s">
        <v>245</v>
      </c>
      <c r="E279" s="4" t="s">
        <v>6</v>
      </c>
      <c r="F279" s="4" t="s">
        <v>6</v>
      </c>
      <c r="G279" s="4" t="s">
        <v>6</v>
      </c>
      <c r="H279" s="40">
        <f>SUM(H280:H290)</f>
        <v>0</v>
      </c>
      <c r="I279" s="40">
        <f>SUM(I280:I290)</f>
        <v>0</v>
      </c>
      <c r="J279" s="40">
        <f>H279+I279</f>
        <v>0</v>
      </c>
      <c r="K279" s="29"/>
      <c r="L279" s="40">
        <f>SUM(L280:L290)</f>
        <v>3.22660106</v>
      </c>
      <c r="M279" s="29"/>
      <c r="Y279" s="29" t="s">
        <v>10</v>
      </c>
      <c r="AI279" s="40">
        <f>SUM(Z280:Z290)</f>
        <v>0</v>
      </c>
      <c r="AJ279" s="40">
        <f>SUM(AA280:AA290)</f>
        <v>0</v>
      </c>
      <c r="AK279" s="40">
        <f>SUM(AB280:AB290)</f>
        <v>0</v>
      </c>
    </row>
    <row r="280" spans="1:48" ht="12.75">
      <c r="A280" s="5" t="s">
        <v>115</v>
      </c>
      <c r="B280" s="5" t="s">
        <v>10</v>
      </c>
      <c r="C280" s="5" t="s">
        <v>179</v>
      </c>
      <c r="D280" s="5" t="s">
        <v>246</v>
      </c>
      <c r="E280" s="5" t="s">
        <v>353</v>
      </c>
      <c r="F280" s="86">
        <v>66</v>
      </c>
      <c r="G280" s="21">
        <v>0</v>
      </c>
      <c r="H280" s="21">
        <f>F280*AE280</f>
        <v>0</v>
      </c>
      <c r="I280" s="21">
        <f>J280-H280</f>
        <v>0</v>
      </c>
      <c r="J280" s="21">
        <f>F280*G280</f>
        <v>0</v>
      </c>
      <c r="K280" s="21">
        <v>0</v>
      </c>
      <c r="L280" s="21">
        <f>F280*K280</f>
        <v>0</v>
      </c>
      <c r="M280" s="33" t="s">
        <v>376</v>
      </c>
      <c r="P280" s="37">
        <f>IF(AG280="5",J280,0)</f>
        <v>0</v>
      </c>
      <c r="R280" s="37">
        <f>IF(AG280="1",H280,0)</f>
        <v>0</v>
      </c>
      <c r="S280" s="37">
        <f>IF(AG280="1",I280,0)</f>
        <v>0</v>
      </c>
      <c r="T280" s="37">
        <f>IF(AG280="7",H280,0)</f>
        <v>0</v>
      </c>
      <c r="U280" s="37">
        <f>IF(AG280="7",I280,0)</f>
        <v>0</v>
      </c>
      <c r="V280" s="37">
        <f>IF(AG280="2",H280,0)</f>
        <v>0</v>
      </c>
      <c r="W280" s="37">
        <f>IF(AG280="2",I280,0)</f>
        <v>0</v>
      </c>
      <c r="X280" s="37">
        <f>IF(AG280="0",J280,0)</f>
        <v>0</v>
      </c>
      <c r="Y280" s="29" t="s">
        <v>10</v>
      </c>
      <c r="Z280" s="21">
        <f>IF(AD280=0,J280,0)</f>
        <v>0</v>
      </c>
      <c r="AA280" s="21">
        <f>IF(AD280=15,J280,0)</f>
        <v>0</v>
      </c>
      <c r="AB280" s="21">
        <f>IF(AD280=21,J280,0)</f>
        <v>0</v>
      </c>
      <c r="AD280" s="37">
        <v>21</v>
      </c>
      <c r="AE280" s="37">
        <f>G280*0</f>
        <v>0</v>
      </c>
      <c r="AF280" s="37">
        <f>G280*(1-0)</f>
        <v>0</v>
      </c>
      <c r="AG280" s="33" t="s">
        <v>7</v>
      </c>
      <c r="AM280" s="37">
        <f>F280*AE280</f>
        <v>0</v>
      </c>
      <c r="AN280" s="37">
        <f>F280*AF280</f>
        <v>0</v>
      </c>
      <c r="AO280" s="38" t="s">
        <v>395</v>
      </c>
      <c r="AP280" s="38" t="s">
        <v>418</v>
      </c>
      <c r="AQ280" s="29" t="s">
        <v>426</v>
      </c>
      <c r="AS280" s="37">
        <f>AM280+AN280</f>
        <v>0</v>
      </c>
      <c r="AT280" s="37">
        <f>G280/(100-AU280)*100</f>
        <v>0</v>
      </c>
      <c r="AU280" s="37">
        <v>0</v>
      </c>
      <c r="AV280" s="37">
        <f>L280</f>
        <v>0</v>
      </c>
    </row>
    <row r="281" spans="4:6" ht="12.75">
      <c r="D281" s="17" t="s">
        <v>322</v>
      </c>
      <c r="F281" s="88">
        <v>66</v>
      </c>
    </row>
    <row r="282" spans="1:48" ht="12.75">
      <c r="A282" s="5" t="s">
        <v>116</v>
      </c>
      <c r="B282" s="5" t="s">
        <v>10</v>
      </c>
      <c r="C282" s="5" t="s">
        <v>180</v>
      </c>
      <c r="D282" s="5" t="s">
        <v>248</v>
      </c>
      <c r="E282" s="5" t="s">
        <v>351</v>
      </c>
      <c r="F282" s="86">
        <v>34.643</v>
      </c>
      <c r="G282" s="21">
        <v>0</v>
      </c>
      <c r="H282" s="21">
        <f>F282*AE282</f>
        <v>0</v>
      </c>
      <c r="I282" s="21">
        <f>J282-H282</f>
        <v>0</v>
      </c>
      <c r="J282" s="21">
        <f>F282*G282</f>
        <v>0</v>
      </c>
      <c r="K282" s="21">
        <v>0.05492</v>
      </c>
      <c r="L282" s="21">
        <f>F282*K282</f>
        <v>1.90259356</v>
      </c>
      <c r="M282" s="33" t="s">
        <v>376</v>
      </c>
      <c r="P282" s="37">
        <f>IF(AG282="5",J282,0)</f>
        <v>0</v>
      </c>
      <c r="R282" s="37">
        <f>IF(AG282="1",H282,0)</f>
        <v>0</v>
      </c>
      <c r="S282" s="37">
        <f>IF(AG282="1",I282,0)</f>
        <v>0</v>
      </c>
      <c r="T282" s="37">
        <f>IF(AG282="7",H282,0)</f>
        <v>0</v>
      </c>
      <c r="U282" s="37">
        <f>IF(AG282="7",I282,0)</f>
        <v>0</v>
      </c>
      <c r="V282" s="37">
        <f>IF(AG282="2",H282,0)</f>
        <v>0</v>
      </c>
      <c r="W282" s="37">
        <f>IF(AG282="2",I282,0)</f>
        <v>0</v>
      </c>
      <c r="X282" s="37">
        <f>IF(AG282="0",J282,0)</f>
        <v>0</v>
      </c>
      <c r="Y282" s="29" t="s">
        <v>10</v>
      </c>
      <c r="Z282" s="21">
        <f>IF(AD282=0,J282,0)</f>
        <v>0</v>
      </c>
      <c r="AA282" s="21">
        <f>IF(AD282=15,J282,0)</f>
        <v>0</v>
      </c>
      <c r="AB282" s="21">
        <f>IF(AD282=21,J282,0)</f>
        <v>0</v>
      </c>
      <c r="AD282" s="37">
        <v>21</v>
      </c>
      <c r="AE282" s="37">
        <f>G282*0.136024522021567</f>
        <v>0</v>
      </c>
      <c r="AF282" s="37">
        <f>G282*(1-0.136024522021567)</f>
        <v>0</v>
      </c>
      <c r="AG282" s="33" t="s">
        <v>7</v>
      </c>
      <c r="AM282" s="37">
        <f>F282*AE282</f>
        <v>0</v>
      </c>
      <c r="AN282" s="37">
        <f>F282*AF282</f>
        <v>0</v>
      </c>
      <c r="AO282" s="38" t="s">
        <v>395</v>
      </c>
      <c r="AP282" s="38" t="s">
        <v>418</v>
      </c>
      <c r="AQ282" s="29" t="s">
        <v>426</v>
      </c>
      <c r="AS282" s="37">
        <f>AM282+AN282</f>
        <v>0</v>
      </c>
      <c r="AT282" s="37">
        <f>G282/(100-AU282)*100</f>
        <v>0</v>
      </c>
      <c r="AU282" s="37">
        <v>0</v>
      </c>
      <c r="AV282" s="37">
        <f>L282</f>
        <v>1.90259356</v>
      </c>
    </row>
    <row r="283" spans="4:6" ht="12.75">
      <c r="D283" s="17" t="s">
        <v>323</v>
      </c>
      <c r="F283" s="88">
        <v>34.643</v>
      </c>
    </row>
    <row r="284" spans="1:48" ht="12.75">
      <c r="A284" s="5" t="s">
        <v>117</v>
      </c>
      <c r="B284" s="5" t="s">
        <v>10</v>
      </c>
      <c r="C284" s="5" t="s">
        <v>183</v>
      </c>
      <c r="D284" s="5" t="s">
        <v>254</v>
      </c>
      <c r="E284" s="5" t="s">
        <v>351</v>
      </c>
      <c r="F284" s="86">
        <v>4.5</v>
      </c>
      <c r="G284" s="21">
        <v>0</v>
      </c>
      <c r="H284" s="21">
        <f>F284*AE284</f>
        <v>0</v>
      </c>
      <c r="I284" s="21">
        <f>J284-H284</f>
        <v>0</v>
      </c>
      <c r="J284" s="21">
        <f>F284*G284</f>
        <v>0</v>
      </c>
      <c r="K284" s="21">
        <v>0.004</v>
      </c>
      <c r="L284" s="21">
        <f>F284*K284</f>
        <v>0.018000000000000002</v>
      </c>
      <c r="M284" s="33" t="s">
        <v>376</v>
      </c>
      <c r="P284" s="37">
        <f>IF(AG284="5",J284,0)</f>
        <v>0</v>
      </c>
      <c r="R284" s="37">
        <f>IF(AG284="1",H284,0)</f>
        <v>0</v>
      </c>
      <c r="S284" s="37">
        <f>IF(AG284="1",I284,0)</f>
        <v>0</v>
      </c>
      <c r="T284" s="37">
        <f>IF(AG284="7",H284,0)</f>
        <v>0</v>
      </c>
      <c r="U284" s="37">
        <f>IF(AG284="7",I284,0)</f>
        <v>0</v>
      </c>
      <c r="V284" s="37">
        <f>IF(AG284="2",H284,0)</f>
        <v>0</v>
      </c>
      <c r="W284" s="37">
        <f>IF(AG284="2",I284,0)</f>
        <v>0</v>
      </c>
      <c r="X284" s="37">
        <f>IF(AG284="0",J284,0)</f>
        <v>0</v>
      </c>
      <c r="Y284" s="29" t="s">
        <v>10</v>
      </c>
      <c r="Z284" s="21">
        <f>IF(AD284=0,J284,0)</f>
        <v>0</v>
      </c>
      <c r="AA284" s="21">
        <f>IF(AD284=15,J284,0)</f>
        <v>0</v>
      </c>
      <c r="AB284" s="21">
        <f>IF(AD284=21,J284,0)</f>
        <v>0</v>
      </c>
      <c r="AD284" s="37">
        <v>21</v>
      </c>
      <c r="AE284" s="37">
        <f>G284*0</f>
        <v>0</v>
      </c>
      <c r="AF284" s="37">
        <f>G284*(1-0)</f>
        <v>0</v>
      </c>
      <c r="AG284" s="33" t="s">
        <v>7</v>
      </c>
      <c r="AM284" s="37">
        <f>F284*AE284</f>
        <v>0</v>
      </c>
      <c r="AN284" s="37">
        <f>F284*AF284</f>
        <v>0</v>
      </c>
      <c r="AO284" s="38" t="s">
        <v>395</v>
      </c>
      <c r="AP284" s="38" t="s">
        <v>418</v>
      </c>
      <c r="AQ284" s="29" t="s">
        <v>426</v>
      </c>
      <c r="AS284" s="37">
        <f>AM284+AN284</f>
        <v>0</v>
      </c>
      <c r="AT284" s="37">
        <f>G284/(100-AU284)*100</f>
        <v>0</v>
      </c>
      <c r="AU284" s="37">
        <v>0</v>
      </c>
      <c r="AV284" s="37">
        <f>L284</f>
        <v>0.018000000000000002</v>
      </c>
    </row>
    <row r="285" spans="4:6" ht="12.75">
      <c r="D285" s="17" t="s">
        <v>324</v>
      </c>
      <c r="F285" s="88">
        <v>4.5</v>
      </c>
    </row>
    <row r="286" spans="1:48" ht="12.75">
      <c r="A286" s="5" t="s">
        <v>118</v>
      </c>
      <c r="B286" s="5" t="s">
        <v>10</v>
      </c>
      <c r="C286" s="5" t="s">
        <v>184</v>
      </c>
      <c r="D286" s="5" t="s">
        <v>256</v>
      </c>
      <c r="E286" s="5" t="s">
        <v>351</v>
      </c>
      <c r="F286" s="86">
        <v>22.3425</v>
      </c>
      <c r="G286" s="21">
        <v>0</v>
      </c>
      <c r="H286" s="21">
        <f>F286*AE286</f>
        <v>0</v>
      </c>
      <c r="I286" s="21">
        <f>J286-H286</f>
        <v>0</v>
      </c>
      <c r="J286" s="21">
        <f>F286*G286</f>
        <v>0</v>
      </c>
      <c r="K286" s="21">
        <v>0.055</v>
      </c>
      <c r="L286" s="21">
        <f>F286*K286</f>
        <v>1.2288375</v>
      </c>
      <c r="M286" s="33" t="s">
        <v>376</v>
      </c>
      <c r="P286" s="37">
        <f>IF(AG286="5",J286,0)</f>
        <v>0</v>
      </c>
      <c r="R286" s="37">
        <f>IF(AG286="1",H286,0)</f>
        <v>0</v>
      </c>
      <c r="S286" s="37">
        <f>IF(AG286="1",I286,0)</f>
        <v>0</v>
      </c>
      <c r="T286" s="37">
        <f>IF(AG286="7",H286,0)</f>
        <v>0</v>
      </c>
      <c r="U286" s="37">
        <f>IF(AG286="7",I286,0)</f>
        <v>0</v>
      </c>
      <c r="V286" s="37">
        <f>IF(AG286="2",H286,0)</f>
        <v>0</v>
      </c>
      <c r="W286" s="37">
        <f>IF(AG286="2",I286,0)</f>
        <v>0</v>
      </c>
      <c r="X286" s="37">
        <f>IF(AG286="0",J286,0)</f>
        <v>0</v>
      </c>
      <c r="Y286" s="29" t="s">
        <v>10</v>
      </c>
      <c r="Z286" s="21">
        <f>IF(AD286=0,J286,0)</f>
        <v>0</v>
      </c>
      <c r="AA286" s="21">
        <f>IF(AD286=15,J286,0)</f>
        <v>0</v>
      </c>
      <c r="AB286" s="21">
        <f>IF(AD286=21,J286,0)</f>
        <v>0</v>
      </c>
      <c r="AD286" s="37">
        <v>21</v>
      </c>
      <c r="AE286" s="37">
        <f>G286*0</f>
        <v>0</v>
      </c>
      <c r="AF286" s="37">
        <f>G286*(1-0)</f>
        <v>0</v>
      </c>
      <c r="AG286" s="33" t="s">
        <v>7</v>
      </c>
      <c r="AM286" s="37">
        <f>F286*AE286</f>
        <v>0</v>
      </c>
      <c r="AN286" s="37">
        <f>F286*AF286</f>
        <v>0</v>
      </c>
      <c r="AO286" s="38" t="s">
        <v>395</v>
      </c>
      <c r="AP286" s="38" t="s">
        <v>418</v>
      </c>
      <c r="AQ286" s="29" t="s">
        <v>426</v>
      </c>
      <c r="AS286" s="37">
        <f>AM286+AN286</f>
        <v>0</v>
      </c>
      <c r="AT286" s="37">
        <f>G286/(100-AU286)*100</f>
        <v>0</v>
      </c>
      <c r="AU286" s="37">
        <v>0</v>
      </c>
      <c r="AV286" s="37">
        <f>L286</f>
        <v>1.2288375</v>
      </c>
    </row>
    <row r="287" spans="4:6" ht="12.75">
      <c r="D287" s="17" t="s">
        <v>325</v>
      </c>
      <c r="F287" s="88">
        <v>22.3425</v>
      </c>
    </row>
    <row r="288" spans="1:48" ht="12.75">
      <c r="A288" s="5" t="s">
        <v>119</v>
      </c>
      <c r="B288" s="5" t="s">
        <v>10</v>
      </c>
      <c r="C288" s="5" t="s">
        <v>195</v>
      </c>
      <c r="D288" s="5" t="s">
        <v>326</v>
      </c>
      <c r="E288" s="5" t="s">
        <v>351</v>
      </c>
      <c r="F288" s="86">
        <v>1</v>
      </c>
      <c r="G288" s="21">
        <v>0</v>
      </c>
      <c r="H288" s="21">
        <f>F288*AE288</f>
        <v>0</v>
      </c>
      <c r="I288" s="21">
        <f>J288-H288</f>
        <v>0</v>
      </c>
      <c r="J288" s="21">
        <f>F288*G288</f>
        <v>0</v>
      </c>
      <c r="K288" s="21">
        <v>0.07717</v>
      </c>
      <c r="L288" s="21">
        <f>F288*K288</f>
        <v>0.07717</v>
      </c>
      <c r="M288" s="33" t="s">
        <v>376</v>
      </c>
      <c r="P288" s="37">
        <f>IF(AG288="5",J288,0)</f>
        <v>0</v>
      </c>
      <c r="R288" s="37">
        <f>IF(AG288="1",H288,0)</f>
        <v>0</v>
      </c>
      <c r="S288" s="37">
        <f>IF(AG288="1",I288,0)</f>
        <v>0</v>
      </c>
      <c r="T288" s="37">
        <f>IF(AG288="7",H288,0)</f>
        <v>0</v>
      </c>
      <c r="U288" s="37">
        <f>IF(AG288="7",I288,0)</f>
        <v>0</v>
      </c>
      <c r="V288" s="37">
        <f>IF(AG288="2",H288,0)</f>
        <v>0</v>
      </c>
      <c r="W288" s="37">
        <f>IF(AG288="2",I288,0)</f>
        <v>0</v>
      </c>
      <c r="X288" s="37">
        <f>IF(AG288="0",J288,0)</f>
        <v>0</v>
      </c>
      <c r="Y288" s="29" t="s">
        <v>10</v>
      </c>
      <c r="Z288" s="21">
        <f>IF(AD288=0,J288,0)</f>
        <v>0</v>
      </c>
      <c r="AA288" s="21">
        <f>IF(AD288=15,J288,0)</f>
        <v>0</v>
      </c>
      <c r="AB288" s="21">
        <f>IF(AD288=21,J288,0)</f>
        <v>0</v>
      </c>
      <c r="AD288" s="37">
        <v>21</v>
      </c>
      <c r="AE288" s="37">
        <f>G288*0.0909050445103858</f>
        <v>0</v>
      </c>
      <c r="AF288" s="37">
        <f>G288*(1-0.0909050445103858)</f>
        <v>0</v>
      </c>
      <c r="AG288" s="33" t="s">
        <v>7</v>
      </c>
      <c r="AM288" s="37">
        <f>F288*AE288</f>
        <v>0</v>
      </c>
      <c r="AN288" s="37">
        <f>F288*AF288</f>
        <v>0</v>
      </c>
      <c r="AO288" s="38" t="s">
        <v>395</v>
      </c>
      <c r="AP288" s="38" t="s">
        <v>418</v>
      </c>
      <c r="AQ288" s="29" t="s">
        <v>426</v>
      </c>
      <c r="AS288" s="37">
        <f>AM288+AN288</f>
        <v>0</v>
      </c>
      <c r="AT288" s="37">
        <f>G288/(100-AU288)*100</f>
        <v>0</v>
      </c>
      <c r="AU288" s="37">
        <v>0</v>
      </c>
      <c r="AV288" s="37">
        <f>L288</f>
        <v>0.07717</v>
      </c>
    </row>
    <row r="289" spans="4:6" ht="12.75">
      <c r="D289" s="17" t="s">
        <v>7</v>
      </c>
      <c r="F289" s="88">
        <v>1</v>
      </c>
    </row>
    <row r="290" spans="1:48" ht="12.75">
      <c r="A290" s="5" t="s">
        <v>120</v>
      </c>
      <c r="B290" s="5" t="s">
        <v>10</v>
      </c>
      <c r="C290" s="5" t="s">
        <v>196</v>
      </c>
      <c r="D290" s="5" t="s">
        <v>327</v>
      </c>
      <c r="E290" s="5" t="s">
        <v>353</v>
      </c>
      <c r="F290" s="86">
        <v>1</v>
      </c>
      <c r="G290" s="21">
        <v>0</v>
      </c>
      <c r="H290" s="21">
        <f>F290*AE290</f>
        <v>0</v>
      </c>
      <c r="I290" s="21">
        <f>J290-H290</f>
        <v>0</v>
      </c>
      <c r="J290" s="21">
        <f>F290*G290</f>
        <v>0</v>
      </c>
      <c r="K290" s="21">
        <v>0</v>
      </c>
      <c r="L290" s="21">
        <f>F290*K290</f>
        <v>0</v>
      </c>
      <c r="M290" s="33" t="s">
        <v>376</v>
      </c>
      <c r="P290" s="37">
        <f>IF(AG290="5",J290,0)</f>
        <v>0</v>
      </c>
      <c r="R290" s="37">
        <f>IF(AG290="1",H290,0)</f>
        <v>0</v>
      </c>
      <c r="S290" s="37">
        <f>IF(AG290="1",I290,0)</f>
        <v>0</v>
      </c>
      <c r="T290" s="37">
        <f>IF(AG290="7",H290,0)</f>
        <v>0</v>
      </c>
      <c r="U290" s="37">
        <f>IF(AG290="7",I290,0)</f>
        <v>0</v>
      </c>
      <c r="V290" s="37">
        <f>IF(AG290="2",H290,0)</f>
        <v>0</v>
      </c>
      <c r="W290" s="37">
        <f>IF(AG290="2",I290,0)</f>
        <v>0</v>
      </c>
      <c r="X290" s="37">
        <f>IF(AG290="0",J290,0)</f>
        <v>0</v>
      </c>
      <c r="Y290" s="29" t="s">
        <v>10</v>
      </c>
      <c r="Z290" s="21">
        <f>IF(AD290=0,J290,0)</f>
        <v>0</v>
      </c>
      <c r="AA290" s="21">
        <f>IF(AD290=15,J290,0)</f>
        <v>0</v>
      </c>
      <c r="AB290" s="21">
        <f>IF(AD290=21,J290,0)</f>
        <v>0</v>
      </c>
      <c r="AD290" s="37">
        <v>21</v>
      </c>
      <c r="AE290" s="37">
        <f>G290*0</f>
        <v>0</v>
      </c>
      <c r="AF290" s="37">
        <f>G290*(1-0)</f>
        <v>0</v>
      </c>
      <c r="AG290" s="33" t="s">
        <v>7</v>
      </c>
      <c r="AM290" s="37">
        <f>F290*AE290</f>
        <v>0</v>
      </c>
      <c r="AN290" s="37">
        <f>F290*AF290</f>
        <v>0</v>
      </c>
      <c r="AO290" s="38" t="s">
        <v>395</v>
      </c>
      <c r="AP290" s="38" t="s">
        <v>418</v>
      </c>
      <c r="AQ290" s="29" t="s">
        <v>426</v>
      </c>
      <c r="AS290" s="37">
        <f>AM290+AN290</f>
        <v>0</v>
      </c>
      <c r="AT290" s="37">
        <f>G290/(100-AU290)*100</f>
        <v>0</v>
      </c>
      <c r="AU290" s="37">
        <v>0</v>
      </c>
      <c r="AV290" s="37">
        <f>L290</f>
        <v>0</v>
      </c>
    </row>
    <row r="291" spans="4:6" ht="12.75">
      <c r="D291" s="17" t="s">
        <v>7</v>
      </c>
      <c r="F291" s="88">
        <v>1</v>
      </c>
    </row>
    <row r="292" spans="1:37" ht="12.75">
      <c r="A292" s="4"/>
      <c r="B292" s="14" t="s">
        <v>10</v>
      </c>
      <c r="C292" s="14" t="s">
        <v>185</v>
      </c>
      <c r="D292" s="14" t="s">
        <v>258</v>
      </c>
      <c r="E292" s="4" t="s">
        <v>6</v>
      </c>
      <c r="F292" s="4" t="s">
        <v>6</v>
      </c>
      <c r="G292" s="4" t="s">
        <v>6</v>
      </c>
      <c r="H292" s="40">
        <f>SUM(H293:H295)</f>
        <v>0</v>
      </c>
      <c r="I292" s="40">
        <f>SUM(I293:I295)</f>
        <v>0</v>
      </c>
      <c r="J292" s="40">
        <f>H292+I292</f>
        <v>0</v>
      </c>
      <c r="K292" s="29"/>
      <c r="L292" s="40">
        <f>SUM(L293:L295)</f>
        <v>0</v>
      </c>
      <c r="M292" s="29"/>
      <c r="Y292" s="29" t="s">
        <v>10</v>
      </c>
      <c r="AI292" s="40">
        <f>SUM(Z293:Z295)</f>
        <v>0</v>
      </c>
      <c r="AJ292" s="40">
        <f>SUM(AA293:AA295)</f>
        <v>0</v>
      </c>
      <c r="AK292" s="40">
        <f>SUM(AB293:AB295)</f>
        <v>0</v>
      </c>
    </row>
    <row r="293" spans="1:48" ht="12.75">
      <c r="A293" s="5" t="s">
        <v>121</v>
      </c>
      <c r="B293" s="5" t="s">
        <v>10</v>
      </c>
      <c r="C293" s="5" t="s">
        <v>186</v>
      </c>
      <c r="D293" s="5" t="s">
        <v>259</v>
      </c>
      <c r="E293" s="5" t="s">
        <v>356</v>
      </c>
      <c r="F293" s="86">
        <v>8.51</v>
      </c>
      <c r="G293" s="21">
        <v>0</v>
      </c>
      <c r="H293" s="21">
        <f>F293*AE293</f>
        <v>0</v>
      </c>
      <c r="I293" s="21">
        <f>J293-H293</f>
        <v>0</v>
      </c>
      <c r="J293" s="21">
        <f>F293*G293</f>
        <v>0</v>
      </c>
      <c r="K293" s="21">
        <v>0</v>
      </c>
      <c r="L293" s="21">
        <f>F293*K293</f>
        <v>0</v>
      </c>
      <c r="M293" s="33" t="s">
        <v>376</v>
      </c>
      <c r="P293" s="37">
        <f>IF(AG293="5",J293,0)</f>
        <v>0</v>
      </c>
      <c r="R293" s="37">
        <f>IF(AG293="1",H293,0)</f>
        <v>0</v>
      </c>
      <c r="S293" s="37">
        <f>IF(AG293="1",I293,0)</f>
        <v>0</v>
      </c>
      <c r="T293" s="37">
        <f>IF(AG293="7",H293,0)</f>
        <v>0</v>
      </c>
      <c r="U293" s="37">
        <f>IF(AG293="7",I293,0)</f>
        <v>0</v>
      </c>
      <c r="V293" s="37">
        <f>IF(AG293="2",H293,0)</f>
        <v>0</v>
      </c>
      <c r="W293" s="37">
        <f>IF(AG293="2",I293,0)</f>
        <v>0</v>
      </c>
      <c r="X293" s="37">
        <f>IF(AG293="0",J293,0)</f>
        <v>0</v>
      </c>
      <c r="Y293" s="29" t="s">
        <v>10</v>
      </c>
      <c r="Z293" s="21">
        <f>IF(AD293=0,J293,0)</f>
        <v>0</v>
      </c>
      <c r="AA293" s="21">
        <f>IF(AD293=15,J293,0)</f>
        <v>0</v>
      </c>
      <c r="AB293" s="21">
        <f>IF(AD293=21,J293,0)</f>
        <v>0</v>
      </c>
      <c r="AD293" s="37">
        <v>21</v>
      </c>
      <c r="AE293" s="37">
        <f>G293*0</f>
        <v>0</v>
      </c>
      <c r="AF293" s="37">
        <f>G293*(1-0)</f>
        <v>0</v>
      </c>
      <c r="AG293" s="33" t="s">
        <v>11</v>
      </c>
      <c r="AM293" s="37">
        <f>F293*AE293</f>
        <v>0</v>
      </c>
      <c r="AN293" s="37">
        <f>F293*AF293</f>
        <v>0</v>
      </c>
      <c r="AO293" s="38" t="s">
        <v>396</v>
      </c>
      <c r="AP293" s="38" t="s">
        <v>418</v>
      </c>
      <c r="AQ293" s="29" t="s">
        <v>426</v>
      </c>
      <c r="AS293" s="37">
        <f>AM293+AN293</f>
        <v>0</v>
      </c>
      <c r="AT293" s="37">
        <f>G293/(100-AU293)*100</f>
        <v>0</v>
      </c>
      <c r="AU293" s="37">
        <v>0</v>
      </c>
      <c r="AV293" s="37">
        <f>L293</f>
        <v>0</v>
      </c>
    </row>
    <row r="294" spans="4:6" ht="12.75">
      <c r="D294" s="17" t="s">
        <v>328</v>
      </c>
      <c r="F294" s="88">
        <v>8.51</v>
      </c>
    </row>
    <row r="295" spans="1:48" ht="12.75">
      <c r="A295" s="5" t="s">
        <v>122</v>
      </c>
      <c r="B295" s="5" t="s">
        <v>10</v>
      </c>
      <c r="C295" s="5" t="s">
        <v>187</v>
      </c>
      <c r="D295" s="5" t="s">
        <v>261</v>
      </c>
      <c r="E295" s="5" t="s">
        <v>356</v>
      </c>
      <c r="F295" s="86">
        <v>170.2</v>
      </c>
      <c r="G295" s="21">
        <v>0</v>
      </c>
      <c r="H295" s="21">
        <f>F295*AE295</f>
        <v>0</v>
      </c>
      <c r="I295" s="21">
        <f>J295-H295</f>
        <v>0</v>
      </c>
      <c r="J295" s="21">
        <f>F295*G295</f>
        <v>0</v>
      </c>
      <c r="K295" s="21">
        <v>0</v>
      </c>
      <c r="L295" s="21">
        <f>F295*K295</f>
        <v>0</v>
      </c>
      <c r="M295" s="33" t="s">
        <v>376</v>
      </c>
      <c r="P295" s="37">
        <f>IF(AG295="5",J295,0)</f>
        <v>0</v>
      </c>
      <c r="R295" s="37">
        <f>IF(AG295="1",H295,0)</f>
        <v>0</v>
      </c>
      <c r="S295" s="37">
        <f>IF(AG295="1",I295,0)</f>
        <v>0</v>
      </c>
      <c r="T295" s="37">
        <f>IF(AG295="7",H295,0)</f>
        <v>0</v>
      </c>
      <c r="U295" s="37">
        <f>IF(AG295="7",I295,0)</f>
        <v>0</v>
      </c>
      <c r="V295" s="37">
        <f>IF(AG295="2",H295,0)</f>
        <v>0</v>
      </c>
      <c r="W295" s="37">
        <f>IF(AG295="2",I295,0)</f>
        <v>0</v>
      </c>
      <c r="X295" s="37">
        <f>IF(AG295="0",J295,0)</f>
        <v>0</v>
      </c>
      <c r="Y295" s="29" t="s">
        <v>10</v>
      </c>
      <c r="Z295" s="21">
        <f>IF(AD295=0,J295,0)</f>
        <v>0</v>
      </c>
      <c r="AA295" s="21">
        <f>IF(AD295=15,J295,0)</f>
        <v>0</v>
      </c>
      <c r="AB295" s="21">
        <f>IF(AD295=21,J295,0)</f>
        <v>0</v>
      </c>
      <c r="AD295" s="37">
        <v>21</v>
      </c>
      <c r="AE295" s="37">
        <f>G295*0</f>
        <v>0</v>
      </c>
      <c r="AF295" s="37">
        <f>G295*(1-0)</f>
        <v>0</v>
      </c>
      <c r="AG295" s="33" t="s">
        <v>11</v>
      </c>
      <c r="AM295" s="37">
        <f>F295*AE295</f>
        <v>0</v>
      </c>
      <c r="AN295" s="37">
        <f>F295*AF295</f>
        <v>0</v>
      </c>
      <c r="AO295" s="38" t="s">
        <v>396</v>
      </c>
      <c r="AP295" s="38" t="s">
        <v>418</v>
      </c>
      <c r="AQ295" s="29" t="s">
        <v>426</v>
      </c>
      <c r="AS295" s="37">
        <f>AM295+AN295</f>
        <v>0</v>
      </c>
      <c r="AT295" s="37">
        <f>G295/(100-AU295)*100</f>
        <v>0</v>
      </c>
      <c r="AU295" s="37">
        <v>0</v>
      </c>
      <c r="AV295" s="37">
        <f>L295</f>
        <v>0</v>
      </c>
    </row>
    <row r="296" spans="4:6" ht="12.75">
      <c r="D296" s="17" t="s">
        <v>329</v>
      </c>
      <c r="F296" s="88">
        <v>170.2</v>
      </c>
    </row>
    <row r="297" spans="1:37" ht="12.75">
      <c r="A297" s="4"/>
      <c r="B297" s="14" t="s">
        <v>10</v>
      </c>
      <c r="C297" s="14" t="s">
        <v>188</v>
      </c>
      <c r="D297" s="14" t="s">
        <v>227</v>
      </c>
      <c r="E297" s="4" t="s">
        <v>6</v>
      </c>
      <c r="F297" s="4" t="s">
        <v>6</v>
      </c>
      <c r="G297" s="4" t="s">
        <v>6</v>
      </c>
      <c r="H297" s="40">
        <f>SUM(H298:H298)</f>
        <v>0</v>
      </c>
      <c r="I297" s="40">
        <f>SUM(I298:I298)</f>
        <v>0</v>
      </c>
      <c r="J297" s="40">
        <f>H297+I297</f>
        <v>0</v>
      </c>
      <c r="K297" s="29"/>
      <c r="L297" s="40">
        <f>SUM(L298:L298)</f>
        <v>0</v>
      </c>
      <c r="M297" s="29"/>
      <c r="Y297" s="29" t="s">
        <v>10</v>
      </c>
      <c r="AI297" s="40">
        <f>SUM(Z298:Z298)</f>
        <v>0</v>
      </c>
      <c r="AJ297" s="40">
        <f>SUM(AA298:AA298)</f>
        <v>0</v>
      </c>
      <c r="AK297" s="40">
        <f>SUM(AB298:AB298)</f>
        <v>0</v>
      </c>
    </row>
    <row r="298" spans="1:48" ht="12.75">
      <c r="A298" s="5" t="s">
        <v>123</v>
      </c>
      <c r="B298" s="5" t="s">
        <v>10</v>
      </c>
      <c r="C298" s="5" t="s">
        <v>189</v>
      </c>
      <c r="D298" s="5" t="s">
        <v>263</v>
      </c>
      <c r="E298" s="5" t="s">
        <v>356</v>
      </c>
      <c r="F298" s="86">
        <v>8.51</v>
      </c>
      <c r="G298" s="21">
        <v>0</v>
      </c>
      <c r="H298" s="21">
        <f>F298*AE298</f>
        <v>0</v>
      </c>
      <c r="I298" s="21">
        <f>J298-H298</f>
        <v>0</v>
      </c>
      <c r="J298" s="21">
        <f>F298*G298</f>
        <v>0</v>
      </c>
      <c r="K298" s="21">
        <v>0</v>
      </c>
      <c r="L298" s="21">
        <f>F298*K298</f>
        <v>0</v>
      </c>
      <c r="M298" s="33" t="s">
        <v>376</v>
      </c>
      <c r="P298" s="37">
        <f>IF(AG298="5",J298,0)</f>
        <v>0</v>
      </c>
      <c r="R298" s="37">
        <f>IF(AG298="1",H298,0)</f>
        <v>0</v>
      </c>
      <c r="S298" s="37">
        <f>IF(AG298="1",I298,0)</f>
        <v>0</v>
      </c>
      <c r="T298" s="37">
        <f>IF(AG298="7",H298,0)</f>
        <v>0</v>
      </c>
      <c r="U298" s="37">
        <f>IF(AG298="7",I298,0)</f>
        <v>0</v>
      </c>
      <c r="V298" s="37">
        <f>IF(AG298="2",H298,0)</f>
        <v>0</v>
      </c>
      <c r="W298" s="37">
        <f>IF(AG298="2",I298,0)</f>
        <v>0</v>
      </c>
      <c r="X298" s="37">
        <f>IF(AG298="0",J298,0)</f>
        <v>0</v>
      </c>
      <c r="Y298" s="29" t="s">
        <v>10</v>
      </c>
      <c r="Z298" s="21">
        <f>IF(AD298=0,J298,0)</f>
        <v>0</v>
      </c>
      <c r="AA298" s="21">
        <f>IF(AD298=15,J298,0)</f>
        <v>0</v>
      </c>
      <c r="AB298" s="21">
        <f>IF(AD298=21,J298,0)</f>
        <v>0</v>
      </c>
      <c r="AD298" s="37">
        <v>21</v>
      </c>
      <c r="AE298" s="37">
        <f>G298*0</f>
        <v>0</v>
      </c>
      <c r="AF298" s="37">
        <f>G298*(1-0)</f>
        <v>0</v>
      </c>
      <c r="AG298" s="33" t="s">
        <v>11</v>
      </c>
      <c r="AM298" s="37">
        <f>F298*AE298</f>
        <v>0</v>
      </c>
      <c r="AN298" s="37">
        <f>F298*AF298</f>
        <v>0</v>
      </c>
      <c r="AO298" s="38" t="s">
        <v>397</v>
      </c>
      <c r="AP298" s="38" t="s">
        <v>418</v>
      </c>
      <c r="AQ298" s="29" t="s">
        <v>426</v>
      </c>
      <c r="AS298" s="37">
        <f>AM298+AN298</f>
        <v>0</v>
      </c>
      <c r="AT298" s="37">
        <f>G298/(100-AU298)*100</f>
        <v>0</v>
      </c>
      <c r="AU298" s="37">
        <v>0</v>
      </c>
      <c r="AV298" s="37">
        <f>L298</f>
        <v>0</v>
      </c>
    </row>
    <row r="299" spans="4:6" ht="12.75">
      <c r="D299" s="17" t="s">
        <v>330</v>
      </c>
      <c r="F299" s="88">
        <v>8.51</v>
      </c>
    </row>
    <row r="300" spans="1:37" ht="12.75">
      <c r="A300" s="4"/>
      <c r="B300" s="14" t="s">
        <v>10</v>
      </c>
      <c r="C300" s="14" t="s">
        <v>190</v>
      </c>
      <c r="D300" s="14" t="s">
        <v>265</v>
      </c>
      <c r="E300" s="4" t="s">
        <v>6</v>
      </c>
      <c r="F300" s="4" t="s">
        <v>6</v>
      </c>
      <c r="G300" s="4" t="s">
        <v>6</v>
      </c>
      <c r="H300" s="40">
        <f>SUM(H301:H307)</f>
        <v>0</v>
      </c>
      <c r="I300" s="40">
        <f>SUM(I301:I307)</f>
        <v>0</v>
      </c>
      <c r="J300" s="40">
        <f>H300+I300</f>
        <v>0</v>
      </c>
      <c r="K300" s="29"/>
      <c r="L300" s="40">
        <f>SUM(L301:L307)</f>
        <v>0</v>
      </c>
      <c r="M300" s="29"/>
      <c r="Y300" s="29" t="s">
        <v>10</v>
      </c>
      <c r="AI300" s="40">
        <f>SUM(Z301:Z307)</f>
        <v>0</v>
      </c>
      <c r="AJ300" s="40">
        <f>SUM(AA301:AA307)</f>
        <v>0</v>
      </c>
      <c r="AK300" s="40">
        <f>SUM(AB301:AB307)</f>
        <v>0</v>
      </c>
    </row>
    <row r="301" spans="1:48" ht="12.75">
      <c r="A301" s="5" t="s">
        <v>124</v>
      </c>
      <c r="B301" s="5" t="s">
        <v>10</v>
      </c>
      <c r="C301" s="5" t="s">
        <v>191</v>
      </c>
      <c r="D301" s="5" t="s">
        <v>266</v>
      </c>
      <c r="E301" s="5" t="s">
        <v>356</v>
      </c>
      <c r="F301" s="86">
        <v>3.15</v>
      </c>
      <c r="G301" s="21">
        <v>0</v>
      </c>
      <c r="H301" s="21">
        <f>F301*AE301</f>
        <v>0</v>
      </c>
      <c r="I301" s="21">
        <f>J301-H301</f>
        <v>0</v>
      </c>
      <c r="J301" s="21">
        <f>F301*G301</f>
        <v>0</v>
      </c>
      <c r="K301" s="21">
        <v>0</v>
      </c>
      <c r="L301" s="21">
        <f>F301*K301</f>
        <v>0</v>
      </c>
      <c r="M301" s="33" t="s">
        <v>376</v>
      </c>
      <c r="P301" s="37">
        <f>IF(AG301="5",J301,0)</f>
        <v>0</v>
      </c>
      <c r="R301" s="37">
        <f>IF(AG301="1",H301,0)</f>
        <v>0</v>
      </c>
      <c r="S301" s="37">
        <f>IF(AG301="1",I301,0)</f>
        <v>0</v>
      </c>
      <c r="T301" s="37">
        <f>IF(AG301="7",H301,0)</f>
        <v>0</v>
      </c>
      <c r="U301" s="37">
        <f>IF(AG301="7",I301,0)</f>
        <v>0</v>
      </c>
      <c r="V301" s="37">
        <f>IF(AG301="2",H301,0)</f>
        <v>0</v>
      </c>
      <c r="W301" s="37">
        <f>IF(AG301="2",I301,0)</f>
        <v>0</v>
      </c>
      <c r="X301" s="37">
        <f>IF(AG301="0",J301,0)</f>
        <v>0</v>
      </c>
      <c r="Y301" s="29" t="s">
        <v>10</v>
      </c>
      <c r="Z301" s="21">
        <f>IF(AD301=0,J301,0)</f>
        <v>0</v>
      </c>
      <c r="AA301" s="21">
        <f>IF(AD301=15,J301,0)</f>
        <v>0</v>
      </c>
      <c r="AB301" s="21">
        <f>IF(AD301=21,J301,0)</f>
        <v>0</v>
      </c>
      <c r="AD301" s="37">
        <v>21</v>
      </c>
      <c r="AE301" s="37">
        <f>G301*0</f>
        <v>0</v>
      </c>
      <c r="AF301" s="37">
        <f>G301*(1-0)</f>
        <v>0</v>
      </c>
      <c r="AG301" s="33" t="s">
        <v>11</v>
      </c>
      <c r="AM301" s="37">
        <f>F301*AE301</f>
        <v>0</v>
      </c>
      <c r="AN301" s="37">
        <f>F301*AF301</f>
        <v>0</v>
      </c>
      <c r="AO301" s="38" t="s">
        <v>398</v>
      </c>
      <c r="AP301" s="38" t="s">
        <v>418</v>
      </c>
      <c r="AQ301" s="29" t="s">
        <v>426</v>
      </c>
      <c r="AS301" s="37">
        <f>AM301+AN301</f>
        <v>0</v>
      </c>
      <c r="AT301" s="37">
        <f>G301/(100-AU301)*100</f>
        <v>0</v>
      </c>
      <c r="AU301" s="37">
        <v>0</v>
      </c>
      <c r="AV301" s="37">
        <f>L301</f>
        <v>0</v>
      </c>
    </row>
    <row r="302" spans="4:6" ht="12.75">
      <c r="D302" s="17" t="s">
        <v>331</v>
      </c>
      <c r="F302" s="88">
        <v>3.15</v>
      </c>
    </row>
    <row r="303" spans="1:48" ht="12.75">
      <c r="A303" s="5" t="s">
        <v>125</v>
      </c>
      <c r="B303" s="5" t="s">
        <v>10</v>
      </c>
      <c r="C303" s="5" t="s">
        <v>192</v>
      </c>
      <c r="D303" s="5" t="s">
        <v>268</v>
      </c>
      <c r="E303" s="5" t="s">
        <v>356</v>
      </c>
      <c r="F303" s="86">
        <v>3.15</v>
      </c>
      <c r="G303" s="21">
        <v>0</v>
      </c>
      <c r="H303" s="21">
        <f>F303*AE303</f>
        <v>0</v>
      </c>
      <c r="I303" s="21">
        <f>J303-H303</f>
        <v>0</v>
      </c>
      <c r="J303" s="21">
        <f>F303*G303</f>
        <v>0</v>
      </c>
      <c r="K303" s="21">
        <v>0</v>
      </c>
      <c r="L303" s="21">
        <f>F303*K303</f>
        <v>0</v>
      </c>
      <c r="M303" s="33" t="s">
        <v>376</v>
      </c>
      <c r="P303" s="37">
        <f>IF(AG303="5",J303,0)</f>
        <v>0</v>
      </c>
      <c r="R303" s="37">
        <f>IF(AG303="1",H303,0)</f>
        <v>0</v>
      </c>
      <c r="S303" s="37">
        <f>IF(AG303="1",I303,0)</f>
        <v>0</v>
      </c>
      <c r="T303" s="37">
        <f>IF(AG303="7",H303,0)</f>
        <v>0</v>
      </c>
      <c r="U303" s="37">
        <f>IF(AG303="7",I303,0)</f>
        <v>0</v>
      </c>
      <c r="V303" s="37">
        <f>IF(AG303="2",H303,0)</f>
        <v>0</v>
      </c>
      <c r="W303" s="37">
        <f>IF(AG303="2",I303,0)</f>
        <v>0</v>
      </c>
      <c r="X303" s="37">
        <f>IF(AG303="0",J303,0)</f>
        <v>0</v>
      </c>
      <c r="Y303" s="29" t="s">
        <v>10</v>
      </c>
      <c r="Z303" s="21">
        <f>IF(AD303=0,J303,0)</f>
        <v>0</v>
      </c>
      <c r="AA303" s="21">
        <f>IF(AD303=15,J303,0)</f>
        <v>0</v>
      </c>
      <c r="AB303" s="21">
        <f>IF(AD303=21,J303,0)</f>
        <v>0</v>
      </c>
      <c r="AD303" s="37">
        <v>21</v>
      </c>
      <c r="AE303" s="37">
        <f>G303*0</f>
        <v>0</v>
      </c>
      <c r="AF303" s="37">
        <f>G303*(1-0)</f>
        <v>0</v>
      </c>
      <c r="AG303" s="33" t="s">
        <v>11</v>
      </c>
      <c r="AM303" s="37">
        <f>F303*AE303</f>
        <v>0</v>
      </c>
      <c r="AN303" s="37">
        <f>F303*AF303</f>
        <v>0</v>
      </c>
      <c r="AO303" s="38" t="s">
        <v>398</v>
      </c>
      <c r="AP303" s="38" t="s">
        <v>418</v>
      </c>
      <c r="AQ303" s="29" t="s">
        <v>426</v>
      </c>
      <c r="AS303" s="37">
        <f>AM303+AN303</f>
        <v>0</v>
      </c>
      <c r="AT303" s="37">
        <f>G303/(100-AU303)*100</f>
        <v>0</v>
      </c>
      <c r="AU303" s="37">
        <v>0</v>
      </c>
      <c r="AV303" s="37">
        <f>L303</f>
        <v>0</v>
      </c>
    </row>
    <row r="304" spans="4:6" ht="12.75">
      <c r="D304" s="17" t="s">
        <v>331</v>
      </c>
      <c r="F304" s="88">
        <v>3.15</v>
      </c>
    </row>
    <row r="305" spans="1:48" ht="12.75">
      <c r="A305" s="5" t="s">
        <v>126</v>
      </c>
      <c r="B305" s="5" t="s">
        <v>10</v>
      </c>
      <c r="C305" s="5" t="s">
        <v>193</v>
      </c>
      <c r="D305" s="5" t="s">
        <v>270</v>
      </c>
      <c r="E305" s="5" t="s">
        <v>356</v>
      </c>
      <c r="F305" s="86">
        <v>3.15</v>
      </c>
      <c r="G305" s="21">
        <v>0</v>
      </c>
      <c r="H305" s="21">
        <f>F305*AE305</f>
        <v>0</v>
      </c>
      <c r="I305" s="21">
        <f>J305-H305</f>
        <v>0</v>
      </c>
      <c r="J305" s="21">
        <f>F305*G305</f>
        <v>0</v>
      </c>
      <c r="K305" s="21">
        <v>0</v>
      </c>
      <c r="L305" s="21">
        <f>F305*K305</f>
        <v>0</v>
      </c>
      <c r="M305" s="33" t="s">
        <v>376</v>
      </c>
      <c r="P305" s="37">
        <f>IF(AG305="5",J305,0)</f>
        <v>0</v>
      </c>
      <c r="R305" s="37">
        <f>IF(AG305="1",H305,0)</f>
        <v>0</v>
      </c>
      <c r="S305" s="37">
        <f>IF(AG305="1",I305,0)</f>
        <v>0</v>
      </c>
      <c r="T305" s="37">
        <f>IF(AG305="7",H305,0)</f>
        <v>0</v>
      </c>
      <c r="U305" s="37">
        <f>IF(AG305="7",I305,0)</f>
        <v>0</v>
      </c>
      <c r="V305" s="37">
        <f>IF(AG305="2",H305,0)</f>
        <v>0</v>
      </c>
      <c r="W305" s="37">
        <f>IF(AG305="2",I305,0)</f>
        <v>0</v>
      </c>
      <c r="X305" s="37">
        <f>IF(AG305="0",J305,0)</f>
        <v>0</v>
      </c>
      <c r="Y305" s="29" t="s">
        <v>10</v>
      </c>
      <c r="Z305" s="21">
        <f>IF(AD305=0,J305,0)</f>
        <v>0</v>
      </c>
      <c r="AA305" s="21">
        <f>IF(AD305=15,J305,0)</f>
        <v>0</v>
      </c>
      <c r="AB305" s="21">
        <f>IF(AD305=21,J305,0)</f>
        <v>0</v>
      </c>
      <c r="AD305" s="37">
        <v>21</v>
      </c>
      <c r="AE305" s="37">
        <f>G305*0.010153325415677</f>
        <v>0</v>
      </c>
      <c r="AF305" s="37">
        <f>G305*(1-0.010153325415677)</f>
        <v>0</v>
      </c>
      <c r="AG305" s="33" t="s">
        <v>11</v>
      </c>
      <c r="AM305" s="37">
        <f>F305*AE305</f>
        <v>0</v>
      </c>
      <c r="AN305" s="37">
        <f>F305*AF305</f>
        <v>0</v>
      </c>
      <c r="AO305" s="38" t="s">
        <v>398</v>
      </c>
      <c r="AP305" s="38" t="s">
        <v>418</v>
      </c>
      <c r="AQ305" s="29" t="s">
        <v>426</v>
      </c>
      <c r="AS305" s="37">
        <f>AM305+AN305</f>
        <v>0</v>
      </c>
      <c r="AT305" s="37">
        <f>G305/(100-AU305)*100</f>
        <v>0</v>
      </c>
      <c r="AU305" s="37">
        <v>0</v>
      </c>
      <c r="AV305" s="37">
        <f>L305</f>
        <v>0</v>
      </c>
    </row>
    <row r="306" spans="4:6" ht="12.75">
      <c r="D306" s="17" t="s">
        <v>331</v>
      </c>
      <c r="F306" s="88">
        <v>3.15</v>
      </c>
    </row>
    <row r="307" spans="1:48" ht="12.75">
      <c r="A307" s="5" t="s">
        <v>127</v>
      </c>
      <c r="B307" s="5" t="s">
        <v>10</v>
      </c>
      <c r="C307" s="5" t="s">
        <v>194</v>
      </c>
      <c r="D307" s="5" t="s">
        <v>271</v>
      </c>
      <c r="E307" s="5" t="s">
        <v>356</v>
      </c>
      <c r="F307" s="86">
        <v>3.15</v>
      </c>
      <c r="G307" s="21">
        <v>0</v>
      </c>
      <c r="H307" s="21">
        <f>F307*AE307</f>
        <v>0</v>
      </c>
      <c r="I307" s="21">
        <f>J307-H307</f>
        <v>0</v>
      </c>
      <c r="J307" s="21">
        <f>F307*G307</f>
        <v>0</v>
      </c>
      <c r="K307" s="21">
        <v>0</v>
      </c>
      <c r="L307" s="21">
        <f>F307*K307</f>
        <v>0</v>
      </c>
      <c r="M307" s="33" t="s">
        <v>376</v>
      </c>
      <c r="P307" s="37">
        <f>IF(AG307="5",J307,0)</f>
        <v>0</v>
      </c>
      <c r="R307" s="37">
        <f>IF(AG307="1",H307,0)</f>
        <v>0</v>
      </c>
      <c r="S307" s="37">
        <f>IF(AG307="1",I307,0)</f>
        <v>0</v>
      </c>
      <c r="T307" s="37">
        <f>IF(AG307="7",H307,0)</f>
        <v>0</v>
      </c>
      <c r="U307" s="37">
        <f>IF(AG307="7",I307,0)</f>
        <v>0</v>
      </c>
      <c r="V307" s="37">
        <f>IF(AG307="2",H307,0)</f>
        <v>0</v>
      </c>
      <c r="W307" s="37">
        <f>IF(AG307="2",I307,0)</f>
        <v>0</v>
      </c>
      <c r="X307" s="37">
        <f>IF(AG307="0",J307,0)</f>
        <v>0</v>
      </c>
      <c r="Y307" s="29" t="s">
        <v>10</v>
      </c>
      <c r="Z307" s="21">
        <f>IF(AD307=0,J307,0)</f>
        <v>0</v>
      </c>
      <c r="AA307" s="21">
        <f>IF(AD307=15,J307,0)</f>
        <v>0</v>
      </c>
      <c r="AB307" s="21">
        <f>IF(AD307=21,J307,0)</f>
        <v>0</v>
      </c>
      <c r="AD307" s="37">
        <v>21</v>
      </c>
      <c r="AE307" s="37">
        <f>G307*0</f>
        <v>0</v>
      </c>
      <c r="AF307" s="37">
        <f>G307*(1-0)</f>
        <v>0</v>
      </c>
      <c r="AG307" s="33" t="s">
        <v>11</v>
      </c>
      <c r="AM307" s="37">
        <f>F307*AE307</f>
        <v>0</v>
      </c>
      <c r="AN307" s="37">
        <f>F307*AF307</f>
        <v>0</v>
      </c>
      <c r="AO307" s="38" t="s">
        <v>398</v>
      </c>
      <c r="AP307" s="38" t="s">
        <v>418</v>
      </c>
      <c r="AQ307" s="29" t="s">
        <v>426</v>
      </c>
      <c r="AS307" s="37">
        <f>AM307+AN307</f>
        <v>0</v>
      </c>
      <c r="AT307" s="37">
        <f>G307/(100-AU307)*100</f>
        <v>0</v>
      </c>
      <c r="AU307" s="37">
        <v>0</v>
      </c>
      <c r="AV307" s="37">
        <f>L307</f>
        <v>0</v>
      </c>
    </row>
    <row r="308" spans="4:6" ht="12.75">
      <c r="D308" s="17" t="s">
        <v>331</v>
      </c>
      <c r="F308" s="88">
        <v>3.15</v>
      </c>
    </row>
    <row r="309" spans="1:13" ht="12.75">
      <c r="A309" s="7"/>
      <c r="B309" s="15" t="s">
        <v>11</v>
      </c>
      <c r="C309" s="15"/>
      <c r="D309" s="15" t="s">
        <v>332</v>
      </c>
      <c r="E309" s="7" t="s">
        <v>6</v>
      </c>
      <c r="F309" s="7" t="s">
        <v>6</v>
      </c>
      <c r="G309" s="7" t="s">
        <v>6</v>
      </c>
      <c r="H309" s="41">
        <f>H310+H315+H318+H325+H330+H333+H338+H347+H352+H355</f>
        <v>0</v>
      </c>
      <c r="I309" s="41">
        <f>I310+I315+I318+I325+I330+I333+I338+I347+I352+I355</f>
        <v>0</v>
      </c>
      <c r="J309" s="41">
        <f>H309+I309</f>
        <v>0</v>
      </c>
      <c r="K309" s="30"/>
      <c r="L309" s="41">
        <f>L310+L315+L318+L325+L330+L333+L338+L347+L352+L355</f>
        <v>0.52119084</v>
      </c>
      <c r="M309" s="30"/>
    </row>
    <row r="310" spans="1:37" ht="12.75">
      <c r="A310" s="4"/>
      <c r="B310" s="14" t="s">
        <v>11</v>
      </c>
      <c r="C310" s="14" t="s">
        <v>67</v>
      </c>
      <c r="D310" s="14" t="s">
        <v>206</v>
      </c>
      <c r="E310" s="4" t="s">
        <v>6</v>
      </c>
      <c r="F310" s="4" t="s">
        <v>6</v>
      </c>
      <c r="G310" s="4" t="s">
        <v>6</v>
      </c>
      <c r="H310" s="40">
        <f>SUM(H311:H313)</f>
        <v>0</v>
      </c>
      <c r="I310" s="40">
        <f>SUM(I311:I313)</f>
        <v>0</v>
      </c>
      <c r="J310" s="40">
        <f>H310+I310</f>
        <v>0</v>
      </c>
      <c r="K310" s="29"/>
      <c r="L310" s="40">
        <f>SUM(L311:L313)</f>
        <v>0.09122549999999999</v>
      </c>
      <c r="M310" s="29"/>
      <c r="Y310" s="29" t="s">
        <v>11</v>
      </c>
      <c r="AI310" s="40">
        <f>SUM(Z311:Z313)</f>
        <v>0</v>
      </c>
      <c r="AJ310" s="40">
        <f>SUM(AA311:AA313)</f>
        <v>0</v>
      </c>
      <c r="AK310" s="40">
        <f>SUM(AB311:AB313)</f>
        <v>0</v>
      </c>
    </row>
    <row r="311" spans="1:48" ht="12.75">
      <c r="A311" s="5" t="s">
        <v>128</v>
      </c>
      <c r="B311" s="5" t="s">
        <v>11</v>
      </c>
      <c r="C311" s="5" t="s">
        <v>154</v>
      </c>
      <c r="D311" s="5" t="s">
        <v>207</v>
      </c>
      <c r="E311" s="5" t="s">
        <v>351</v>
      </c>
      <c r="F311" s="86">
        <v>2.61</v>
      </c>
      <c r="G311" s="21">
        <v>0</v>
      </c>
      <c r="H311" s="21">
        <f>F311*AE311</f>
        <v>0</v>
      </c>
      <c r="I311" s="21">
        <f>J311-H311</f>
        <v>0</v>
      </c>
      <c r="J311" s="21">
        <f>F311*G311</f>
        <v>0</v>
      </c>
      <c r="K311" s="21">
        <v>0.03491</v>
      </c>
      <c r="L311" s="21">
        <f>F311*K311</f>
        <v>0.09111509999999999</v>
      </c>
      <c r="M311" s="33" t="s">
        <v>376</v>
      </c>
      <c r="P311" s="37">
        <f>IF(AG311="5",J311,0)</f>
        <v>0</v>
      </c>
      <c r="R311" s="37">
        <f>IF(AG311="1",H311,0)</f>
        <v>0</v>
      </c>
      <c r="S311" s="37">
        <f>IF(AG311="1",I311,0)</f>
        <v>0</v>
      </c>
      <c r="T311" s="37">
        <f>IF(AG311="7",H311,0)</f>
        <v>0</v>
      </c>
      <c r="U311" s="37">
        <f>IF(AG311="7",I311,0)</f>
        <v>0</v>
      </c>
      <c r="V311" s="37">
        <f>IF(AG311="2",H311,0)</f>
        <v>0</v>
      </c>
      <c r="W311" s="37">
        <f>IF(AG311="2",I311,0)</f>
        <v>0</v>
      </c>
      <c r="X311" s="37">
        <f>IF(AG311="0",J311,0)</f>
        <v>0</v>
      </c>
      <c r="Y311" s="29" t="s">
        <v>11</v>
      </c>
      <c r="Z311" s="21">
        <f>IF(AD311=0,J311,0)</f>
        <v>0</v>
      </c>
      <c r="AA311" s="21">
        <f>IF(AD311=15,J311,0)</f>
        <v>0</v>
      </c>
      <c r="AB311" s="21">
        <f>IF(AD311=21,J311,0)</f>
        <v>0</v>
      </c>
      <c r="AD311" s="37">
        <v>21</v>
      </c>
      <c r="AE311" s="37">
        <f>G311*0.225964711607143</f>
        <v>0</v>
      </c>
      <c r="AF311" s="37">
        <f>G311*(1-0.225964711607143)</f>
        <v>0</v>
      </c>
      <c r="AG311" s="33" t="s">
        <v>7</v>
      </c>
      <c r="AM311" s="37">
        <f>F311*AE311</f>
        <v>0</v>
      </c>
      <c r="AN311" s="37">
        <f>F311*AF311</f>
        <v>0</v>
      </c>
      <c r="AO311" s="38" t="s">
        <v>387</v>
      </c>
      <c r="AP311" s="38" t="s">
        <v>419</v>
      </c>
      <c r="AQ311" s="29" t="s">
        <v>427</v>
      </c>
      <c r="AS311" s="37">
        <f>AM311+AN311</f>
        <v>0</v>
      </c>
      <c r="AT311" s="37">
        <f>G311/(100-AU311)*100</f>
        <v>0</v>
      </c>
      <c r="AU311" s="37">
        <v>0</v>
      </c>
      <c r="AV311" s="37">
        <f>L311</f>
        <v>0.09111509999999999</v>
      </c>
    </row>
    <row r="312" spans="4:6" ht="12.75">
      <c r="D312" s="17" t="s">
        <v>333</v>
      </c>
      <c r="F312" s="88">
        <v>2.61</v>
      </c>
    </row>
    <row r="313" spans="1:48" ht="12.75">
      <c r="A313" s="5" t="s">
        <v>129</v>
      </c>
      <c r="B313" s="5" t="s">
        <v>11</v>
      </c>
      <c r="C313" s="5" t="s">
        <v>155</v>
      </c>
      <c r="D313" s="5" t="s">
        <v>209</v>
      </c>
      <c r="E313" s="5" t="s">
        <v>351</v>
      </c>
      <c r="F313" s="86">
        <v>2.76</v>
      </c>
      <c r="G313" s="21">
        <v>0</v>
      </c>
      <c r="H313" s="21">
        <f>F313*AE313</f>
        <v>0</v>
      </c>
      <c r="I313" s="21">
        <f>J313-H313</f>
        <v>0</v>
      </c>
      <c r="J313" s="21">
        <f>F313*G313</f>
        <v>0</v>
      </c>
      <c r="K313" s="21">
        <v>4E-05</v>
      </c>
      <c r="L313" s="21">
        <f>F313*K313</f>
        <v>0.0001104</v>
      </c>
      <c r="M313" s="33" t="s">
        <v>376</v>
      </c>
      <c r="P313" s="37">
        <f>IF(AG313="5",J313,0)</f>
        <v>0</v>
      </c>
      <c r="R313" s="37">
        <f>IF(AG313="1",H313,0)</f>
        <v>0</v>
      </c>
      <c r="S313" s="37">
        <f>IF(AG313="1",I313,0)</f>
        <v>0</v>
      </c>
      <c r="T313" s="37">
        <f>IF(AG313="7",H313,0)</f>
        <v>0</v>
      </c>
      <c r="U313" s="37">
        <f>IF(AG313="7",I313,0)</f>
        <v>0</v>
      </c>
      <c r="V313" s="37">
        <f>IF(AG313="2",H313,0)</f>
        <v>0</v>
      </c>
      <c r="W313" s="37">
        <f>IF(AG313="2",I313,0)</f>
        <v>0</v>
      </c>
      <c r="X313" s="37">
        <f>IF(AG313="0",J313,0)</f>
        <v>0</v>
      </c>
      <c r="Y313" s="29" t="s">
        <v>11</v>
      </c>
      <c r="Z313" s="21">
        <f>IF(AD313=0,J313,0)</f>
        <v>0</v>
      </c>
      <c r="AA313" s="21">
        <f>IF(AD313=15,J313,0)</f>
        <v>0</v>
      </c>
      <c r="AB313" s="21">
        <f>IF(AD313=21,J313,0)</f>
        <v>0</v>
      </c>
      <c r="AD313" s="37">
        <v>21</v>
      </c>
      <c r="AE313" s="37">
        <f>G313*0.328353411764706</f>
        <v>0</v>
      </c>
      <c r="AF313" s="37">
        <f>G313*(1-0.328353411764706)</f>
        <v>0</v>
      </c>
      <c r="AG313" s="33" t="s">
        <v>7</v>
      </c>
      <c r="AM313" s="37">
        <f>F313*AE313</f>
        <v>0</v>
      </c>
      <c r="AN313" s="37">
        <f>F313*AF313</f>
        <v>0</v>
      </c>
      <c r="AO313" s="38" t="s">
        <v>387</v>
      </c>
      <c r="AP313" s="38" t="s">
        <v>419</v>
      </c>
      <c r="AQ313" s="29" t="s">
        <v>427</v>
      </c>
      <c r="AS313" s="37">
        <f>AM313+AN313</f>
        <v>0</v>
      </c>
      <c r="AT313" s="37">
        <f>G313/(100-AU313)*100</f>
        <v>0</v>
      </c>
      <c r="AU313" s="37">
        <v>0</v>
      </c>
      <c r="AV313" s="37">
        <f>L313</f>
        <v>0.0001104</v>
      </c>
    </row>
    <row r="314" spans="4:6" ht="12.75">
      <c r="D314" s="17" t="s">
        <v>334</v>
      </c>
      <c r="F314" s="88">
        <v>2.76</v>
      </c>
    </row>
    <row r="315" spans="1:37" ht="12.75">
      <c r="A315" s="4"/>
      <c r="B315" s="14" t="s">
        <v>11</v>
      </c>
      <c r="C315" s="14" t="s">
        <v>156</v>
      </c>
      <c r="D315" s="14" t="s">
        <v>211</v>
      </c>
      <c r="E315" s="4" t="s">
        <v>6</v>
      </c>
      <c r="F315" s="4" t="s">
        <v>6</v>
      </c>
      <c r="G315" s="4" t="s">
        <v>6</v>
      </c>
      <c r="H315" s="40">
        <f>SUM(H316:H316)</f>
        <v>0</v>
      </c>
      <c r="I315" s="40">
        <f>SUM(I316:I316)</f>
        <v>0</v>
      </c>
      <c r="J315" s="40">
        <f>H315+I315</f>
        <v>0</v>
      </c>
      <c r="K315" s="29"/>
      <c r="L315" s="40">
        <f>SUM(L316:L316)</f>
        <v>0</v>
      </c>
      <c r="M315" s="29"/>
      <c r="Y315" s="29" t="s">
        <v>11</v>
      </c>
      <c r="AI315" s="40">
        <f>SUM(Z316:Z316)</f>
        <v>0</v>
      </c>
      <c r="AJ315" s="40">
        <f>SUM(AA316:AA316)</f>
        <v>0</v>
      </c>
      <c r="AK315" s="40">
        <f>SUM(AB316:AB316)</f>
        <v>0</v>
      </c>
    </row>
    <row r="316" spans="1:48" ht="12.75">
      <c r="A316" s="5" t="s">
        <v>130</v>
      </c>
      <c r="B316" s="5" t="s">
        <v>11</v>
      </c>
      <c r="C316" s="5" t="s">
        <v>157</v>
      </c>
      <c r="D316" s="5" t="s">
        <v>212</v>
      </c>
      <c r="E316" s="5" t="s">
        <v>352</v>
      </c>
      <c r="F316" s="86">
        <v>2</v>
      </c>
      <c r="G316" s="21">
        <v>0</v>
      </c>
      <c r="H316" s="21">
        <f>F316*AE316</f>
        <v>0</v>
      </c>
      <c r="I316" s="21">
        <f>J316-H316</f>
        <v>0</v>
      </c>
      <c r="J316" s="21">
        <f>F316*G316</f>
        <v>0</v>
      </c>
      <c r="K316" s="21">
        <v>0</v>
      </c>
      <c r="L316" s="21">
        <f>F316*K316</f>
        <v>0</v>
      </c>
      <c r="M316" s="33"/>
      <c r="P316" s="37">
        <f>IF(AG316="5",J316,0)</f>
        <v>0</v>
      </c>
      <c r="R316" s="37">
        <f>IF(AG316="1",H316,0)</f>
        <v>0</v>
      </c>
      <c r="S316" s="37">
        <f>IF(AG316="1",I316,0)</f>
        <v>0</v>
      </c>
      <c r="T316" s="37">
        <f>IF(AG316="7",H316,0)</f>
        <v>0</v>
      </c>
      <c r="U316" s="37">
        <f>IF(AG316="7",I316,0)</f>
        <v>0</v>
      </c>
      <c r="V316" s="37">
        <f>IF(AG316="2",H316,0)</f>
        <v>0</v>
      </c>
      <c r="W316" s="37">
        <f>IF(AG316="2",I316,0)</f>
        <v>0</v>
      </c>
      <c r="X316" s="37">
        <f>IF(AG316="0",J316,0)</f>
        <v>0</v>
      </c>
      <c r="Y316" s="29" t="s">
        <v>11</v>
      </c>
      <c r="Z316" s="21">
        <f>IF(AD316=0,J316,0)</f>
        <v>0</v>
      </c>
      <c r="AA316" s="21">
        <f>IF(AD316=15,J316,0)</f>
        <v>0</v>
      </c>
      <c r="AB316" s="21">
        <f>IF(AD316=21,J316,0)</f>
        <v>0</v>
      </c>
      <c r="AD316" s="37">
        <v>21</v>
      </c>
      <c r="AE316" s="37">
        <f>G316*0</f>
        <v>0</v>
      </c>
      <c r="AF316" s="37">
        <f>G316*(1-0)</f>
        <v>0</v>
      </c>
      <c r="AG316" s="33" t="s">
        <v>7</v>
      </c>
      <c r="AM316" s="37">
        <f>F316*AE316</f>
        <v>0</v>
      </c>
      <c r="AN316" s="37">
        <f>F316*AF316</f>
        <v>0</v>
      </c>
      <c r="AO316" s="38" t="s">
        <v>388</v>
      </c>
      <c r="AP316" s="38" t="s">
        <v>419</v>
      </c>
      <c r="AQ316" s="29" t="s">
        <v>427</v>
      </c>
      <c r="AS316" s="37">
        <f>AM316+AN316</f>
        <v>0</v>
      </c>
      <c r="AT316" s="37">
        <f>G316/(100-AU316)*100</f>
        <v>0</v>
      </c>
      <c r="AU316" s="37">
        <v>0</v>
      </c>
      <c r="AV316" s="37">
        <f>L316</f>
        <v>0</v>
      </c>
    </row>
    <row r="317" spans="4:6" ht="12.75">
      <c r="D317" s="17" t="s">
        <v>335</v>
      </c>
      <c r="F317" s="88">
        <v>2</v>
      </c>
    </row>
    <row r="318" spans="1:37" ht="12.75">
      <c r="A318" s="4"/>
      <c r="B318" s="14" t="s">
        <v>11</v>
      </c>
      <c r="C318" s="14" t="s">
        <v>70</v>
      </c>
      <c r="D318" s="14" t="s">
        <v>214</v>
      </c>
      <c r="E318" s="4" t="s">
        <v>6</v>
      </c>
      <c r="F318" s="4" t="s">
        <v>6</v>
      </c>
      <c r="G318" s="4" t="s">
        <v>6</v>
      </c>
      <c r="H318" s="40">
        <f>SUM(H319:H323)</f>
        <v>0</v>
      </c>
      <c r="I318" s="40">
        <f>SUM(I319:I323)</f>
        <v>0</v>
      </c>
      <c r="J318" s="40">
        <f>H318+I318</f>
        <v>0</v>
      </c>
      <c r="K318" s="29"/>
      <c r="L318" s="40">
        <f>SUM(L319:L323)</f>
        <v>0.080809</v>
      </c>
      <c r="M318" s="29"/>
      <c r="Y318" s="29" t="s">
        <v>11</v>
      </c>
      <c r="AI318" s="40">
        <f>SUM(Z319:Z323)</f>
        <v>0</v>
      </c>
      <c r="AJ318" s="40">
        <f>SUM(AA319:AA323)</f>
        <v>0</v>
      </c>
      <c r="AK318" s="40">
        <f>SUM(AB319:AB323)</f>
        <v>0</v>
      </c>
    </row>
    <row r="319" spans="1:48" ht="12.75">
      <c r="A319" s="5" t="s">
        <v>131</v>
      </c>
      <c r="B319" s="5" t="s">
        <v>11</v>
      </c>
      <c r="C319" s="5" t="s">
        <v>158</v>
      </c>
      <c r="D319" s="5" t="s">
        <v>215</v>
      </c>
      <c r="E319" s="5" t="s">
        <v>353</v>
      </c>
      <c r="F319" s="86">
        <v>1</v>
      </c>
      <c r="G319" s="21">
        <v>0</v>
      </c>
      <c r="H319" s="21">
        <f>F319*AE319</f>
        <v>0</v>
      </c>
      <c r="I319" s="21">
        <f>J319-H319</f>
        <v>0</v>
      </c>
      <c r="J319" s="21">
        <f>F319*G319</f>
        <v>0</v>
      </c>
      <c r="K319" s="21">
        <v>0.0614</v>
      </c>
      <c r="L319" s="21">
        <f>F319*K319</f>
        <v>0.0614</v>
      </c>
      <c r="M319" s="33" t="s">
        <v>376</v>
      </c>
      <c r="P319" s="37">
        <f>IF(AG319="5",J319,0)</f>
        <v>0</v>
      </c>
      <c r="R319" s="37">
        <f>IF(AG319="1",H319,0)</f>
        <v>0</v>
      </c>
      <c r="S319" s="37">
        <f>IF(AG319="1",I319,0)</f>
        <v>0</v>
      </c>
      <c r="T319" s="37">
        <f>IF(AG319="7",H319,0)</f>
        <v>0</v>
      </c>
      <c r="U319" s="37">
        <f>IF(AG319="7",I319,0)</f>
        <v>0</v>
      </c>
      <c r="V319" s="37">
        <f>IF(AG319="2",H319,0)</f>
        <v>0</v>
      </c>
      <c r="W319" s="37">
        <f>IF(AG319="2",I319,0)</f>
        <v>0</v>
      </c>
      <c r="X319" s="37">
        <f>IF(AG319="0",J319,0)</f>
        <v>0</v>
      </c>
      <c r="Y319" s="29" t="s">
        <v>11</v>
      </c>
      <c r="Z319" s="21">
        <f>IF(AD319=0,J319,0)</f>
        <v>0</v>
      </c>
      <c r="AA319" s="21">
        <f>IF(AD319=15,J319,0)</f>
        <v>0</v>
      </c>
      <c r="AB319" s="21">
        <f>IF(AD319=21,J319,0)</f>
        <v>0</v>
      </c>
      <c r="AD319" s="37">
        <v>21</v>
      </c>
      <c r="AE319" s="37">
        <f>G319*0.299152409638554</f>
        <v>0</v>
      </c>
      <c r="AF319" s="37">
        <f>G319*(1-0.299152409638554)</f>
        <v>0</v>
      </c>
      <c r="AG319" s="33" t="s">
        <v>7</v>
      </c>
      <c r="AM319" s="37">
        <f>F319*AE319</f>
        <v>0</v>
      </c>
      <c r="AN319" s="37">
        <f>F319*AF319</f>
        <v>0</v>
      </c>
      <c r="AO319" s="38" t="s">
        <v>389</v>
      </c>
      <c r="AP319" s="38" t="s">
        <v>419</v>
      </c>
      <c r="AQ319" s="29" t="s">
        <v>427</v>
      </c>
      <c r="AS319" s="37">
        <f>AM319+AN319</f>
        <v>0</v>
      </c>
      <c r="AT319" s="37">
        <f>G319/(100-AU319)*100</f>
        <v>0</v>
      </c>
      <c r="AU319" s="37">
        <v>0</v>
      </c>
      <c r="AV319" s="37">
        <f>L319</f>
        <v>0.0614</v>
      </c>
    </row>
    <row r="320" spans="4:6" ht="12.75">
      <c r="D320" s="17" t="s">
        <v>7</v>
      </c>
      <c r="F320" s="88">
        <v>1</v>
      </c>
    </row>
    <row r="321" spans="1:48" ht="12.75">
      <c r="A321" s="5" t="s">
        <v>132</v>
      </c>
      <c r="B321" s="5" t="s">
        <v>11</v>
      </c>
      <c r="C321" s="5" t="s">
        <v>159</v>
      </c>
      <c r="D321" s="5" t="s">
        <v>217</v>
      </c>
      <c r="E321" s="5" t="s">
        <v>350</v>
      </c>
      <c r="F321" s="86">
        <v>6.9</v>
      </c>
      <c r="G321" s="21">
        <v>0</v>
      </c>
      <c r="H321" s="21">
        <f>F321*AE321</f>
        <v>0</v>
      </c>
      <c r="I321" s="21">
        <f>J321-H321</f>
        <v>0</v>
      </c>
      <c r="J321" s="21">
        <f>F321*G321</f>
        <v>0</v>
      </c>
      <c r="K321" s="21">
        <v>0</v>
      </c>
      <c r="L321" s="21">
        <f>F321*K321</f>
        <v>0</v>
      </c>
      <c r="M321" s="33" t="s">
        <v>376</v>
      </c>
      <c r="P321" s="37">
        <f>IF(AG321="5",J321,0)</f>
        <v>0</v>
      </c>
      <c r="R321" s="37">
        <f>IF(AG321="1",H321,0)</f>
        <v>0</v>
      </c>
      <c r="S321" s="37">
        <f>IF(AG321="1",I321,0)</f>
        <v>0</v>
      </c>
      <c r="T321" s="37">
        <f>IF(AG321="7",H321,0)</f>
        <v>0</v>
      </c>
      <c r="U321" s="37">
        <f>IF(AG321="7",I321,0)</f>
        <v>0</v>
      </c>
      <c r="V321" s="37">
        <f>IF(AG321="2",H321,0)</f>
        <v>0</v>
      </c>
      <c r="W321" s="37">
        <f>IF(AG321="2",I321,0)</f>
        <v>0</v>
      </c>
      <c r="X321" s="37">
        <f>IF(AG321="0",J321,0)</f>
        <v>0</v>
      </c>
      <c r="Y321" s="29" t="s">
        <v>11</v>
      </c>
      <c r="Z321" s="21">
        <f>IF(AD321=0,J321,0)</f>
        <v>0</v>
      </c>
      <c r="AA321" s="21">
        <f>IF(AD321=15,J321,0)</f>
        <v>0</v>
      </c>
      <c r="AB321" s="21">
        <f>IF(AD321=21,J321,0)</f>
        <v>0</v>
      </c>
      <c r="AD321" s="37">
        <v>21</v>
      </c>
      <c r="AE321" s="37">
        <f>G321*0.16399</f>
        <v>0</v>
      </c>
      <c r="AF321" s="37">
        <f>G321*(1-0.16399)</f>
        <v>0</v>
      </c>
      <c r="AG321" s="33" t="s">
        <v>7</v>
      </c>
      <c r="AM321" s="37">
        <f>F321*AE321</f>
        <v>0</v>
      </c>
      <c r="AN321" s="37">
        <f>F321*AF321</f>
        <v>0</v>
      </c>
      <c r="AO321" s="38" t="s">
        <v>389</v>
      </c>
      <c r="AP321" s="38" t="s">
        <v>419</v>
      </c>
      <c r="AQ321" s="29" t="s">
        <v>427</v>
      </c>
      <c r="AS321" s="37">
        <f>AM321+AN321</f>
        <v>0</v>
      </c>
      <c r="AT321" s="37">
        <f>G321/(100-AU321)*100</f>
        <v>0</v>
      </c>
      <c r="AU321" s="37">
        <v>0</v>
      </c>
      <c r="AV321" s="37">
        <f>L321</f>
        <v>0</v>
      </c>
    </row>
    <row r="322" spans="4:6" ht="12.75">
      <c r="D322" s="17" t="s">
        <v>336</v>
      </c>
      <c r="F322" s="88">
        <v>6.9</v>
      </c>
    </row>
    <row r="323" spans="1:48" ht="12.75">
      <c r="A323" s="5" t="s">
        <v>133</v>
      </c>
      <c r="B323" s="5" t="s">
        <v>11</v>
      </c>
      <c r="C323" s="5" t="s">
        <v>161</v>
      </c>
      <c r="D323" s="5" t="s">
        <v>221</v>
      </c>
      <c r="E323" s="5" t="s">
        <v>350</v>
      </c>
      <c r="F323" s="86">
        <v>1.3</v>
      </c>
      <c r="G323" s="21">
        <v>0</v>
      </c>
      <c r="H323" s="21">
        <f>F323*AE323</f>
        <v>0</v>
      </c>
      <c r="I323" s="21">
        <f>J323-H323</f>
        <v>0</v>
      </c>
      <c r="J323" s="21">
        <f>F323*G323</f>
        <v>0</v>
      </c>
      <c r="K323" s="21">
        <v>0.01493</v>
      </c>
      <c r="L323" s="21">
        <f>F323*K323</f>
        <v>0.019409000000000003</v>
      </c>
      <c r="M323" s="33" t="s">
        <v>376</v>
      </c>
      <c r="P323" s="37">
        <f>IF(AG323="5",J323,0)</f>
        <v>0</v>
      </c>
      <c r="R323" s="37">
        <f>IF(AG323="1",H323,0)</f>
        <v>0</v>
      </c>
      <c r="S323" s="37">
        <f>IF(AG323="1",I323,0)</f>
        <v>0</v>
      </c>
      <c r="T323" s="37">
        <f>IF(AG323="7",H323,0)</f>
        <v>0</v>
      </c>
      <c r="U323" s="37">
        <f>IF(AG323="7",I323,0)</f>
        <v>0</v>
      </c>
      <c r="V323" s="37">
        <f>IF(AG323="2",H323,0)</f>
        <v>0</v>
      </c>
      <c r="W323" s="37">
        <f>IF(AG323="2",I323,0)</f>
        <v>0</v>
      </c>
      <c r="X323" s="37">
        <f>IF(AG323="0",J323,0)</f>
        <v>0</v>
      </c>
      <c r="Y323" s="29" t="s">
        <v>11</v>
      </c>
      <c r="Z323" s="21">
        <f>IF(AD323=0,J323,0)</f>
        <v>0</v>
      </c>
      <c r="AA323" s="21">
        <f>IF(AD323=15,J323,0)</f>
        <v>0</v>
      </c>
      <c r="AB323" s="21">
        <f>IF(AD323=21,J323,0)</f>
        <v>0</v>
      </c>
      <c r="AD323" s="37">
        <v>21</v>
      </c>
      <c r="AE323" s="37">
        <f>G323*0.664061346863469</f>
        <v>0</v>
      </c>
      <c r="AF323" s="37">
        <f>G323*(1-0.664061346863469)</f>
        <v>0</v>
      </c>
      <c r="AG323" s="33" t="s">
        <v>7</v>
      </c>
      <c r="AM323" s="37">
        <f>F323*AE323</f>
        <v>0</v>
      </c>
      <c r="AN323" s="37">
        <f>F323*AF323</f>
        <v>0</v>
      </c>
      <c r="AO323" s="38" t="s">
        <v>389</v>
      </c>
      <c r="AP323" s="38" t="s">
        <v>419</v>
      </c>
      <c r="AQ323" s="29" t="s">
        <v>427</v>
      </c>
      <c r="AS323" s="37">
        <f>AM323+AN323</f>
        <v>0</v>
      </c>
      <c r="AT323" s="37">
        <f>G323/(100-AU323)*100</f>
        <v>0</v>
      </c>
      <c r="AU323" s="37">
        <v>0</v>
      </c>
      <c r="AV323" s="37">
        <f>L323</f>
        <v>0.019409000000000003</v>
      </c>
    </row>
    <row r="324" spans="4:6" ht="12.75">
      <c r="D324" s="17" t="s">
        <v>337</v>
      </c>
      <c r="F324" s="88">
        <v>1.3</v>
      </c>
    </row>
    <row r="325" spans="1:37" ht="12.75">
      <c r="A325" s="4"/>
      <c r="B325" s="14" t="s">
        <v>11</v>
      </c>
      <c r="C325" s="14" t="s">
        <v>162</v>
      </c>
      <c r="D325" s="14" t="s">
        <v>223</v>
      </c>
      <c r="E325" s="4" t="s">
        <v>6</v>
      </c>
      <c r="F325" s="4" t="s">
        <v>6</v>
      </c>
      <c r="G325" s="4" t="s">
        <v>6</v>
      </c>
      <c r="H325" s="40">
        <f>SUM(H326:H328)</f>
        <v>0</v>
      </c>
      <c r="I325" s="40">
        <f>SUM(I326:I328)</f>
        <v>0</v>
      </c>
      <c r="J325" s="40">
        <f>H325+I325</f>
        <v>0</v>
      </c>
      <c r="K325" s="29"/>
      <c r="L325" s="40">
        <f>SUM(L326:L328)</f>
        <v>0.010746</v>
      </c>
      <c r="M325" s="29"/>
      <c r="Y325" s="29" t="s">
        <v>11</v>
      </c>
      <c r="AI325" s="40">
        <f>SUM(Z326:Z328)</f>
        <v>0</v>
      </c>
      <c r="AJ325" s="40">
        <f>SUM(AA326:AA328)</f>
        <v>0</v>
      </c>
      <c r="AK325" s="40">
        <f>SUM(AB326:AB328)</f>
        <v>0</v>
      </c>
    </row>
    <row r="326" spans="1:48" ht="12.75">
      <c r="A326" s="5" t="s">
        <v>134</v>
      </c>
      <c r="B326" s="5" t="s">
        <v>11</v>
      </c>
      <c r="C326" s="5" t="s">
        <v>163</v>
      </c>
      <c r="D326" s="5" t="s">
        <v>224</v>
      </c>
      <c r="E326" s="5" t="s">
        <v>350</v>
      </c>
      <c r="F326" s="86">
        <v>1.8</v>
      </c>
      <c r="G326" s="21">
        <v>0</v>
      </c>
      <c r="H326" s="21">
        <f>F326*AE326</f>
        <v>0</v>
      </c>
      <c r="I326" s="21">
        <f>J326-H326</f>
        <v>0</v>
      </c>
      <c r="J326" s="21">
        <f>F326*G326</f>
        <v>0</v>
      </c>
      <c r="K326" s="21">
        <v>0.00181</v>
      </c>
      <c r="L326" s="21">
        <f>F326*K326</f>
        <v>0.003258</v>
      </c>
      <c r="M326" s="33" t="s">
        <v>376</v>
      </c>
      <c r="P326" s="37">
        <f>IF(AG326="5",J326,0)</f>
        <v>0</v>
      </c>
      <c r="R326" s="37">
        <f>IF(AG326="1",H326,0)</f>
        <v>0</v>
      </c>
      <c r="S326" s="37">
        <f>IF(AG326="1",I326,0)</f>
        <v>0</v>
      </c>
      <c r="T326" s="37">
        <f>IF(AG326="7",H326,0)</f>
        <v>0</v>
      </c>
      <c r="U326" s="37">
        <f>IF(AG326="7",I326,0)</f>
        <v>0</v>
      </c>
      <c r="V326" s="37">
        <f>IF(AG326="2",H326,0)</f>
        <v>0</v>
      </c>
      <c r="W326" s="37">
        <f>IF(AG326="2",I326,0)</f>
        <v>0</v>
      </c>
      <c r="X326" s="37">
        <f>IF(AG326="0",J326,0)</f>
        <v>0</v>
      </c>
      <c r="Y326" s="29" t="s">
        <v>11</v>
      </c>
      <c r="Z326" s="21">
        <f>IF(AD326=0,J326,0)</f>
        <v>0</v>
      </c>
      <c r="AA326" s="21">
        <f>IF(AD326=15,J326,0)</f>
        <v>0</v>
      </c>
      <c r="AB326" s="21">
        <f>IF(AD326=21,J326,0)</f>
        <v>0</v>
      </c>
      <c r="AD326" s="37">
        <v>21</v>
      </c>
      <c r="AE326" s="37">
        <f>G326*0</f>
        <v>0</v>
      </c>
      <c r="AF326" s="37">
        <f>G326*(1-0)</f>
        <v>0</v>
      </c>
      <c r="AG326" s="33" t="s">
        <v>13</v>
      </c>
      <c r="AM326" s="37">
        <f>F326*AE326</f>
        <v>0</v>
      </c>
      <c r="AN326" s="37">
        <f>F326*AF326</f>
        <v>0</v>
      </c>
      <c r="AO326" s="38" t="s">
        <v>390</v>
      </c>
      <c r="AP326" s="38" t="s">
        <v>420</v>
      </c>
      <c r="AQ326" s="29" t="s">
        <v>427</v>
      </c>
      <c r="AS326" s="37">
        <f>AM326+AN326</f>
        <v>0</v>
      </c>
      <c r="AT326" s="37">
        <f>G326/(100-AU326)*100</f>
        <v>0</v>
      </c>
      <c r="AU326" s="37">
        <v>0</v>
      </c>
      <c r="AV326" s="37">
        <f>L326</f>
        <v>0.003258</v>
      </c>
    </row>
    <row r="327" spans="4:6" ht="12.75">
      <c r="D327" s="17" t="s">
        <v>338</v>
      </c>
      <c r="F327" s="88">
        <v>1.8</v>
      </c>
    </row>
    <row r="328" spans="1:48" ht="12.75">
      <c r="A328" s="5" t="s">
        <v>135</v>
      </c>
      <c r="B328" s="5" t="s">
        <v>11</v>
      </c>
      <c r="C328" s="5" t="s">
        <v>164</v>
      </c>
      <c r="D328" s="5" t="s">
        <v>226</v>
      </c>
      <c r="E328" s="5" t="s">
        <v>350</v>
      </c>
      <c r="F328" s="86">
        <v>1.8</v>
      </c>
      <c r="G328" s="21">
        <v>0</v>
      </c>
      <c r="H328" s="21">
        <f>F328*AE328</f>
        <v>0</v>
      </c>
      <c r="I328" s="21">
        <f>J328-H328</f>
        <v>0</v>
      </c>
      <c r="J328" s="21">
        <f>F328*G328</f>
        <v>0</v>
      </c>
      <c r="K328" s="21">
        <v>0.00416</v>
      </c>
      <c r="L328" s="21">
        <f>F328*K328</f>
        <v>0.007488</v>
      </c>
      <c r="M328" s="33" t="s">
        <v>376</v>
      </c>
      <c r="P328" s="37">
        <f>IF(AG328="5",J328,0)</f>
        <v>0</v>
      </c>
      <c r="R328" s="37">
        <f>IF(AG328="1",H328,0)</f>
        <v>0</v>
      </c>
      <c r="S328" s="37">
        <f>IF(AG328="1",I328,0)</f>
        <v>0</v>
      </c>
      <c r="T328" s="37">
        <f>IF(AG328="7",H328,0)</f>
        <v>0</v>
      </c>
      <c r="U328" s="37">
        <f>IF(AG328="7",I328,0)</f>
        <v>0</v>
      </c>
      <c r="V328" s="37">
        <f>IF(AG328="2",H328,0)</f>
        <v>0</v>
      </c>
      <c r="W328" s="37">
        <f>IF(AG328="2",I328,0)</f>
        <v>0</v>
      </c>
      <c r="X328" s="37">
        <f>IF(AG328="0",J328,0)</f>
        <v>0</v>
      </c>
      <c r="Y328" s="29" t="s">
        <v>11</v>
      </c>
      <c r="Z328" s="21">
        <f>IF(AD328=0,J328,0)</f>
        <v>0</v>
      </c>
      <c r="AA328" s="21">
        <f>IF(AD328=15,J328,0)</f>
        <v>0</v>
      </c>
      <c r="AB328" s="21">
        <f>IF(AD328=21,J328,0)</f>
        <v>0</v>
      </c>
      <c r="AD328" s="37">
        <v>21</v>
      </c>
      <c r="AE328" s="37">
        <f>G328*0.59131943731899</f>
        <v>0</v>
      </c>
      <c r="AF328" s="37">
        <f>G328*(1-0.59131943731899)</f>
        <v>0</v>
      </c>
      <c r="AG328" s="33" t="s">
        <v>13</v>
      </c>
      <c r="AM328" s="37">
        <f>F328*AE328</f>
        <v>0</v>
      </c>
      <c r="AN328" s="37">
        <f>F328*AF328</f>
        <v>0</v>
      </c>
      <c r="AO328" s="38" t="s">
        <v>390</v>
      </c>
      <c r="AP328" s="38" t="s">
        <v>420</v>
      </c>
      <c r="AQ328" s="29" t="s">
        <v>427</v>
      </c>
      <c r="AS328" s="37">
        <f>AM328+AN328</f>
        <v>0</v>
      </c>
      <c r="AT328" s="37">
        <f>G328/(100-AU328)*100</f>
        <v>0</v>
      </c>
      <c r="AU328" s="37">
        <v>0</v>
      </c>
      <c r="AV328" s="37">
        <f>L328</f>
        <v>0.007488</v>
      </c>
    </row>
    <row r="329" spans="4:6" ht="12.75">
      <c r="D329" s="17" t="s">
        <v>338</v>
      </c>
      <c r="F329" s="88">
        <v>1.8</v>
      </c>
    </row>
    <row r="330" spans="1:37" ht="12.75">
      <c r="A330" s="4"/>
      <c r="B330" s="14" t="s">
        <v>11</v>
      </c>
      <c r="C330" s="14" t="s">
        <v>165</v>
      </c>
      <c r="D330" s="14" t="s">
        <v>227</v>
      </c>
      <c r="E330" s="4" t="s">
        <v>6</v>
      </c>
      <c r="F330" s="4" t="s">
        <v>6</v>
      </c>
      <c r="G330" s="4" t="s">
        <v>6</v>
      </c>
      <c r="H330" s="40">
        <f>SUM(H331:H331)</f>
        <v>0</v>
      </c>
      <c r="I330" s="40">
        <f>SUM(I331:I331)</f>
        <v>0</v>
      </c>
      <c r="J330" s="40">
        <f>H330+I330</f>
        <v>0</v>
      </c>
      <c r="K330" s="29"/>
      <c r="L330" s="40">
        <f>SUM(L331:L331)</f>
        <v>0.08</v>
      </c>
      <c r="M330" s="29"/>
      <c r="Y330" s="29" t="s">
        <v>11</v>
      </c>
      <c r="AI330" s="40">
        <f>SUM(Z331:Z331)</f>
        <v>0</v>
      </c>
      <c r="AJ330" s="40">
        <f>SUM(AA331:AA331)</f>
        <v>0</v>
      </c>
      <c r="AK330" s="40">
        <f>SUM(AB331:AB331)</f>
        <v>0</v>
      </c>
    </row>
    <row r="331" spans="1:48" ht="12.75">
      <c r="A331" s="5" t="s">
        <v>136</v>
      </c>
      <c r="B331" s="5" t="s">
        <v>11</v>
      </c>
      <c r="C331" s="5" t="s">
        <v>167</v>
      </c>
      <c r="D331" s="5" t="s">
        <v>230</v>
      </c>
      <c r="E331" s="5" t="s">
        <v>355</v>
      </c>
      <c r="F331" s="86">
        <v>1</v>
      </c>
      <c r="G331" s="21">
        <v>0</v>
      </c>
      <c r="H331" s="21">
        <f>F331*AE331</f>
        <v>0</v>
      </c>
      <c r="I331" s="21">
        <f>J331-H331</f>
        <v>0</v>
      </c>
      <c r="J331" s="21">
        <f>F331*G331</f>
        <v>0</v>
      </c>
      <c r="K331" s="21">
        <v>0.08</v>
      </c>
      <c r="L331" s="21">
        <f>F331*K331</f>
        <v>0.08</v>
      </c>
      <c r="M331" s="33"/>
      <c r="P331" s="37">
        <f>IF(AG331="5",J331,0)</f>
        <v>0</v>
      </c>
      <c r="R331" s="37">
        <f>IF(AG331="1",H331,0)</f>
        <v>0</v>
      </c>
      <c r="S331" s="37">
        <f>IF(AG331="1",I331,0)</f>
        <v>0</v>
      </c>
      <c r="T331" s="37">
        <f>IF(AG331="7",H331,0)</f>
        <v>0</v>
      </c>
      <c r="U331" s="37">
        <f>IF(AG331="7",I331,0)</f>
        <v>0</v>
      </c>
      <c r="V331" s="37">
        <f>IF(AG331="2",H331,0)</f>
        <v>0</v>
      </c>
      <c r="W331" s="37">
        <f>IF(AG331="2",I331,0)</f>
        <v>0</v>
      </c>
      <c r="X331" s="37">
        <f>IF(AG331="0",J331,0)</f>
        <v>0</v>
      </c>
      <c r="Y331" s="29" t="s">
        <v>11</v>
      </c>
      <c r="Z331" s="21">
        <f>IF(AD331=0,J331,0)</f>
        <v>0</v>
      </c>
      <c r="AA331" s="21">
        <f>IF(AD331=15,J331,0)</f>
        <v>0</v>
      </c>
      <c r="AB331" s="21">
        <f>IF(AD331=21,J331,0)</f>
        <v>0</v>
      </c>
      <c r="AD331" s="37">
        <v>21</v>
      </c>
      <c r="AE331" s="37">
        <f>G331*0</f>
        <v>0</v>
      </c>
      <c r="AF331" s="37">
        <f>G331*(1-0)</f>
        <v>0</v>
      </c>
      <c r="AG331" s="33" t="s">
        <v>13</v>
      </c>
      <c r="AM331" s="37">
        <f>F331*AE331</f>
        <v>0</v>
      </c>
      <c r="AN331" s="37">
        <f>F331*AF331</f>
        <v>0</v>
      </c>
      <c r="AO331" s="38" t="s">
        <v>391</v>
      </c>
      <c r="AP331" s="38" t="s">
        <v>420</v>
      </c>
      <c r="AQ331" s="29" t="s">
        <v>427</v>
      </c>
      <c r="AS331" s="37">
        <f>AM331+AN331</f>
        <v>0</v>
      </c>
      <c r="AT331" s="37">
        <f>G331/(100-AU331)*100</f>
        <v>0</v>
      </c>
      <c r="AU331" s="37">
        <v>0</v>
      </c>
      <c r="AV331" s="37">
        <f>L331</f>
        <v>0.08</v>
      </c>
    </row>
    <row r="332" spans="4:6" ht="12.75">
      <c r="D332" s="17" t="s">
        <v>7</v>
      </c>
      <c r="F332" s="88">
        <v>1</v>
      </c>
    </row>
    <row r="333" spans="1:37" ht="12.75">
      <c r="A333" s="4"/>
      <c r="B333" s="14" t="s">
        <v>11</v>
      </c>
      <c r="C333" s="14" t="s">
        <v>173</v>
      </c>
      <c r="D333" s="14" t="s">
        <v>237</v>
      </c>
      <c r="E333" s="4" t="s">
        <v>6</v>
      </c>
      <c r="F333" s="4" t="s">
        <v>6</v>
      </c>
      <c r="G333" s="4" t="s">
        <v>6</v>
      </c>
      <c r="H333" s="40">
        <f>SUM(H334:H336)</f>
        <v>0</v>
      </c>
      <c r="I333" s="40">
        <f>SUM(I334:I336)</f>
        <v>0</v>
      </c>
      <c r="J333" s="40">
        <f>H333+I333</f>
        <v>0</v>
      </c>
      <c r="K333" s="29"/>
      <c r="L333" s="40">
        <f>SUM(L334:L336)</f>
        <v>0.0017226</v>
      </c>
      <c r="M333" s="29"/>
      <c r="Y333" s="29" t="s">
        <v>11</v>
      </c>
      <c r="AI333" s="40">
        <f>SUM(Z334:Z336)</f>
        <v>0</v>
      </c>
      <c r="AJ333" s="40">
        <f>SUM(AA334:AA336)</f>
        <v>0</v>
      </c>
      <c r="AK333" s="40">
        <f>SUM(AB334:AB336)</f>
        <v>0</v>
      </c>
    </row>
    <row r="334" spans="1:48" ht="12.75">
      <c r="A334" s="5" t="s">
        <v>137</v>
      </c>
      <c r="B334" s="5" t="s">
        <v>11</v>
      </c>
      <c r="C334" s="5" t="s">
        <v>174</v>
      </c>
      <c r="D334" s="5" t="s">
        <v>238</v>
      </c>
      <c r="E334" s="5" t="s">
        <v>351</v>
      </c>
      <c r="F334" s="86">
        <v>2.61</v>
      </c>
      <c r="G334" s="21">
        <v>0</v>
      </c>
      <c r="H334" s="21">
        <f>F334*AE334</f>
        <v>0</v>
      </c>
      <c r="I334" s="21">
        <f>J334-H334</f>
        <v>0</v>
      </c>
      <c r="J334" s="21">
        <f>F334*G334</f>
        <v>0</v>
      </c>
      <c r="K334" s="21">
        <v>0.00018</v>
      </c>
      <c r="L334" s="21">
        <f>F334*K334</f>
        <v>0.0004698</v>
      </c>
      <c r="M334" s="33" t="s">
        <v>376</v>
      </c>
      <c r="P334" s="37">
        <f>IF(AG334="5",J334,0)</f>
        <v>0</v>
      </c>
      <c r="R334" s="37">
        <f>IF(AG334="1",H334,0)</f>
        <v>0</v>
      </c>
      <c r="S334" s="37">
        <f>IF(AG334="1",I334,0)</f>
        <v>0</v>
      </c>
      <c r="T334" s="37">
        <f>IF(AG334="7",H334,0)</f>
        <v>0</v>
      </c>
      <c r="U334" s="37">
        <f>IF(AG334="7",I334,0)</f>
        <v>0</v>
      </c>
      <c r="V334" s="37">
        <f>IF(AG334="2",H334,0)</f>
        <v>0</v>
      </c>
      <c r="W334" s="37">
        <f>IF(AG334="2",I334,0)</f>
        <v>0</v>
      </c>
      <c r="X334" s="37">
        <f>IF(AG334="0",J334,0)</f>
        <v>0</v>
      </c>
      <c r="Y334" s="29" t="s">
        <v>11</v>
      </c>
      <c r="Z334" s="21">
        <f>IF(AD334=0,J334,0)</f>
        <v>0</v>
      </c>
      <c r="AA334" s="21">
        <f>IF(AD334=15,J334,0)</f>
        <v>0</v>
      </c>
      <c r="AB334" s="21">
        <f>IF(AD334=21,J334,0)</f>
        <v>0</v>
      </c>
      <c r="AD334" s="37">
        <v>21</v>
      </c>
      <c r="AE334" s="37">
        <f>G334*0.381889479452055</f>
        <v>0</v>
      </c>
      <c r="AF334" s="37">
        <f>G334*(1-0.381889479452055)</f>
        <v>0</v>
      </c>
      <c r="AG334" s="33" t="s">
        <v>13</v>
      </c>
      <c r="AM334" s="37">
        <f>F334*AE334</f>
        <v>0</v>
      </c>
      <c r="AN334" s="37">
        <f>F334*AF334</f>
        <v>0</v>
      </c>
      <c r="AO334" s="38" t="s">
        <v>393</v>
      </c>
      <c r="AP334" s="38" t="s">
        <v>421</v>
      </c>
      <c r="AQ334" s="29" t="s">
        <v>427</v>
      </c>
      <c r="AS334" s="37">
        <f>AM334+AN334</f>
        <v>0</v>
      </c>
      <c r="AT334" s="37">
        <f>G334/(100-AU334)*100</f>
        <v>0</v>
      </c>
      <c r="AU334" s="37">
        <v>0</v>
      </c>
      <c r="AV334" s="37">
        <f>L334</f>
        <v>0.0004698</v>
      </c>
    </row>
    <row r="335" spans="4:6" ht="12.75">
      <c r="D335" s="17" t="s">
        <v>339</v>
      </c>
      <c r="F335" s="88">
        <v>2.61</v>
      </c>
    </row>
    <row r="336" spans="1:48" ht="12.75">
      <c r="A336" s="5" t="s">
        <v>138</v>
      </c>
      <c r="B336" s="5" t="s">
        <v>11</v>
      </c>
      <c r="C336" s="5" t="s">
        <v>175</v>
      </c>
      <c r="D336" s="5" t="s">
        <v>240</v>
      </c>
      <c r="E336" s="5" t="s">
        <v>351</v>
      </c>
      <c r="F336" s="86">
        <v>2.61</v>
      </c>
      <c r="G336" s="21">
        <v>0</v>
      </c>
      <c r="H336" s="21">
        <f>F336*AE336</f>
        <v>0</v>
      </c>
      <c r="I336" s="21">
        <f>J336-H336</f>
        <v>0</v>
      </c>
      <c r="J336" s="21">
        <f>F336*G336</f>
        <v>0</v>
      </c>
      <c r="K336" s="21">
        <v>0.00048</v>
      </c>
      <c r="L336" s="21">
        <f>F336*K336</f>
        <v>0.0012527999999999999</v>
      </c>
      <c r="M336" s="33" t="s">
        <v>376</v>
      </c>
      <c r="P336" s="37">
        <f>IF(AG336="5",J336,0)</f>
        <v>0</v>
      </c>
      <c r="R336" s="37">
        <f>IF(AG336="1",H336,0)</f>
        <v>0</v>
      </c>
      <c r="S336" s="37">
        <f>IF(AG336="1",I336,0)</f>
        <v>0</v>
      </c>
      <c r="T336" s="37">
        <f>IF(AG336="7",H336,0)</f>
        <v>0</v>
      </c>
      <c r="U336" s="37">
        <f>IF(AG336="7",I336,0)</f>
        <v>0</v>
      </c>
      <c r="V336" s="37">
        <f>IF(AG336="2",H336,0)</f>
        <v>0</v>
      </c>
      <c r="W336" s="37">
        <f>IF(AG336="2",I336,0)</f>
        <v>0</v>
      </c>
      <c r="X336" s="37">
        <f>IF(AG336="0",J336,0)</f>
        <v>0</v>
      </c>
      <c r="Y336" s="29" t="s">
        <v>11</v>
      </c>
      <c r="Z336" s="21">
        <f>IF(AD336=0,J336,0)</f>
        <v>0</v>
      </c>
      <c r="AA336" s="21">
        <f>IF(AD336=15,J336,0)</f>
        <v>0</v>
      </c>
      <c r="AB336" s="21">
        <f>IF(AD336=21,J336,0)</f>
        <v>0</v>
      </c>
      <c r="AD336" s="37">
        <v>21</v>
      </c>
      <c r="AE336" s="37">
        <f>G336*0.339066</f>
        <v>0</v>
      </c>
      <c r="AF336" s="37">
        <f>G336*(1-0.339066)</f>
        <v>0</v>
      </c>
      <c r="AG336" s="33" t="s">
        <v>13</v>
      </c>
      <c r="AM336" s="37">
        <f>F336*AE336</f>
        <v>0</v>
      </c>
      <c r="AN336" s="37">
        <f>F336*AF336</f>
        <v>0</v>
      </c>
      <c r="AO336" s="38" t="s">
        <v>393</v>
      </c>
      <c r="AP336" s="38" t="s">
        <v>421</v>
      </c>
      <c r="AQ336" s="29" t="s">
        <v>427</v>
      </c>
      <c r="AS336" s="37">
        <f>AM336+AN336</f>
        <v>0</v>
      </c>
      <c r="AT336" s="37">
        <f>G336/(100-AU336)*100</f>
        <v>0</v>
      </c>
      <c r="AU336" s="37">
        <v>0</v>
      </c>
      <c r="AV336" s="37">
        <f>L336</f>
        <v>0.0012527999999999999</v>
      </c>
    </row>
    <row r="337" spans="4:6" ht="12.75">
      <c r="D337" s="17" t="s">
        <v>339</v>
      </c>
      <c r="F337" s="88">
        <v>2.61</v>
      </c>
    </row>
    <row r="338" spans="1:37" ht="12.75">
      <c r="A338" s="4"/>
      <c r="B338" s="14" t="s">
        <v>11</v>
      </c>
      <c r="C338" s="14" t="s">
        <v>102</v>
      </c>
      <c r="D338" s="14" t="s">
        <v>245</v>
      </c>
      <c r="E338" s="4" t="s">
        <v>6</v>
      </c>
      <c r="F338" s="4" t="s">
        <v>6</v>
      </c>
      <c r="G338" s="4" t="s">
        <v>6</v>
      </c>
      <c r="H338" s="40">
        <f>SUM(H339:H345)</f>
        <v>0</v>
      </c>
      <c r="I338" s="40">
        <f>SUM(I339:I345)</f>
        <v>0</v>
      </c>
      <c r="J338" s="40">
        <f>H338+I338</f>
        <v>0</v>
      </c>
      <c r="K338" s="29"/>
      <c r="L338" s="40">
        <f>SUM(L339:L345)</f>
        <v>0.25668774</v>
      </c>
      <c r="M338" s="29"/>
      <c r="Y338" s="29" t="s">
        <v>11</v>
      </c>
      <c r="AI338" s="40">
        <f>SUM(Z339:Z345)</f>
        <v>0</v>
      </c>
      <c r="AJ338" s="40">
        <f>SUM(AA339:AA345)</f>
        <v>0</v>
      </c>
      <c r="AK338" s="40">
        <f>SUM(AB339:AB345)</f>
        <v>0</v>
      </c>
    </row>
    <row r="339" spans="1:48" ht="12.75">
      <c r="A339" s="5" t="s">
        <v>139</v>
      </c>
      <c r="B339" s="5" t="s">
        <v>11</v>
      </c>
      <c r="C339" s="5" t="s">
        <v>179</v>
      </c>
      <c r="D339" s="5" t="s">
        <v>246</v>
      </c>
      <c r="E339" s="5" t="s">
        <v>353</v>
      </c>
      <c r="F339" s="86">
        <v>6</v>
      </c>
      <c r="G339" s="21">
        <v>0</v>
      </c>
      <c r="H339" s="21">
        <f>F339*AE339</f>
        <v>0</v>
      </c>
      <c r="I339" s="21">
        <f>J339-H339</f>
        <v>0</v>
      </c>
      <c r="J339" s="21">
        <f>F339*G339</f>
        <v>0</v>
      </c>
      <c r="K339" s="21">
        <v>0</v>
      </c>
      <c r="L339" s="21">
        <f>F339*K339</f>
        <v>0</v>
      </c>
      <c r="M339" s="33" t="s">
        <v>376</v>
      </c>
      <c r="P339" s="37">
        <f>IF(AG339="5",J339,0)</f>
        <v>0</v>
      </c>
      <c r="R339" s="37">
        <f>IF(AG339="1",H339,0)</f>
        <v>0</v>
      </c>
      <c r="S339" s="37">
        <f>IF(AG339="1",I339,0)</f>
        <v>0</v>
      </c>
      <c r="T339" s="37">
        <f>IF(AG339="7",H339,0)</f>
        <v>0</v>
      </c>
      <c r="U339" s="37">
        <f>IF(AG339="7",I339,0)</f>
        <v>0</v>
      </c>
      <c r="V339" s="37">
        <f>IF(AG339="2",H339,0)</f>
        <v>0</v>
      </c>
      <c r="W339" s="37">
        <f>IF(AG339="2",I339,0)</f>
        <v>0</v>
      </c>
      <c r="X339" s="37">
        <f>IF(AG339="0",J339,0)</f>
        <v>0</v>
      </c>
      <c r="Y339" s="29" t="s">
        <v>11</v>
      </c>
      <c r="Z339" s="21">
        <f>IF(AD339=0,J339,0)</f>
        <v>0</v>
      </c>
      <c r="AA339" s="21">
        <f>IF(AD339=15,J339,0)</f>
        <v>0</v>
      </c>
      <c r="AB339" s="21">
        <f>IF(AD339=21,J339,0)</f>
        <v>0</v>
      </c>
      <c r="AD339" s="37">
        <v>21</v>
      </c>
      <c r="AE339" s="37">
        <f>G339*0</f>
        <v>0</v>
      </c>
      <c r="AF339" s="37">
        <f>G339*(1-0)</f>
        <v>0</v>
      </c>
      <c r="AG339" s="33" t="s">
        <v>7</v>
      </c>
      <c r="AM339" s="37">
        <f>F339*AE339</f>
        <v>0</v>
      </c>
      <c r="AN339" s="37">
        <f>F339*AF339</f>
        <v>0</v>
      </c>
      <c r="AO339" s="38" t="s">
        <v>395</v>
      </c>
      <c r="AP339" s="38" t="s">
        <v>422</v>
      </c>
      <c r="AQ339" s="29" t="s">
        <v>427</v>
      </c>
      <c r="AS339" s="37">
        <f>AM339+AN339</f>
        <v>0</v>
      </c>
      <c r="AT339" s="37">
        <f>G339/(100-AU339)*100</f>
        <v>0</v>
      </c>
      <c r="AU339" s="37">
        <v>0</v>
      </c>
      <c r="AV339" s="37">
        <f>L339</f>
        <v>0</v>
      </c>
    </row>
    <row r="340" spans="4:6" ht="12.75">
      <c r="D340" s="17" t="s">
        <v>12</v>
      </c>
      <c r="F340" s="88">
        <v>6</v>
      </c>
    </row>
    <row r="341" spans="1:48" ht="12.75">
      <c r="A341" s="5" t="s">
        <v>140</v>
      </c>
      <c r="B341" s="5" t="s">
        <v>11</v>
      </c>
      <c r="C341" s="5" t="s">
        <v>180</v>
      </c>
      <c r="D341" s="5" t="s">
        <v>248</v>
      </c>
      <c r="E341" s="5" t="s">
        <v>351</v>
      </c>
      <c r="F341" s="86">
        <v>2.622</v>
      </c>
      <c r="G341" s="21">
        <v>0</v>
      </c>
      <c r="H341" s="21">
        <f>F341*AE341</f>
        <v>0</v>
      </c>
      <c r="I341" s="21">
        <f>J341-H341</f>
        <v>0</v>
      </c>
      <c r="J341" s="21">
        <f>F341*G341</f>
        <v>0</v>
      </c>
      <c r="K341" s="21">
        <v>0.05492</v>
      </c>
      <c r="L341" s="21">
        <f>F341*K341</f>
        <v>0.14400023999999997</v>
      </c>
      <c r="M341" s="33" t="s">
        <v>376</v>
      </c>
      <c r="P341" s="37">
        <f>IF(AG341="5",J341,0)</f>
        <v>0</v>
      </c>
      <c r="R341" s="37">
        <f>IF(AG341="1",H341,0)</f>
        <v>0</v>
      </c>
      <c r="S341" s="37">
        <f>IF(AG341="1",I341,0)</f>
        <v>0</v>
      </c>
      <c r="T341" s="37">
        <f>IF(AG341="7",H341,0)</f>
        <v>0</v>
      </c>
      <c r="U341" s="37">
        <f>IF(AG341="7",I341,0)</f>
        <v>0</v>
      </c>
      <c r="V341" s="37">
        <f>IF(AG341="2",H341,0)</f>
        <v>0</v>
      </c>
      <c r="W341" s="37">
        <f>IF(AG341="2",I341,0)</f>
        <v>0</v>
      </c>
      <c r="X341" s="37">
        <f>IF(AG341="0",J341,0)</f>
        <v>0</v>
      </c>
      <c r="Y341" s="29" t="s">
        <v>11</v>
      </c>
      <c r="Z341" s="21">
        <f>IF(AD341=0,J341,0)</f>
        <v>0</v>
      </c>
      <c r="AA341" s="21">
        <f>IF(AD341=15,J341,0)</f>
        <v>0</v>
      </c>
      <c r="AB341" s="21">
        <f>IF(AD341=21,J341,0)</f>
        <v>0</v>
      </c>
      <c r="AD341" s="37">
        <v>21</v>
      </c>
      <c r="AE341" s="37">
        <f>G341*0.135921241852487</f>
        <v>0</v>
      </c>
      <c r="AF341" s="37">
        <f>G341*(1-0.135921241852487)</f>
        <v>0</v>
      </c>
      <c r="AG341" s="33" t="s">
        <v>7</v>
      </c>
      <c r="AM341" s="37">
        <f>F341*AE341</f>
        <v>0</v>
      </c>
      <c r="AN341" s="37">
        <f>F341*AF341</f>
        <v>0</v>
      </c>
      <c r="AO341" s="38" t="s">
        <v>395</v>
      </c>
      <c r="AP341" s="38" t="s">
        <v>422</v>
      </c>
      <c r="AQ341" s="29" t="s">
        <v>427</v>
      </c>
      <c r="AS341" s="37">
        <f>AM341+AN341</f>
        <v>0</v>
      </c>
      <c r="AT341" s="37">
        <f>G341/(100-AU341)*100</f>
        <v>0</v>
      </c>
      <c r="AU341" s="37">
        <v>0</v>
      </c>
      <c r="AV341" s="37">
        <f>L341</f>
        <v>0.14400023999999997</v>
      </c>
    </row>
    <row r="342" spans="4:6" ht="12.75">
      <c r="D342" s="17" t="s">
        <v>340</v>
      </c>
      <c r="F342" s="88">
        <v>2.622</v>
      </c>
    </row>
    <row r="343" spans="1:48" ht="12.75">
      <c r="A343" s="5" t="s">
        <v>141</v>
      </c>
      <c r="B343" s="5" t="s">
        <v>11</v>
      </c>
      <c r="C343" s="5" t="s">
        <v>183</v>
      </c>
      <c r="D343" s="5" t="s">
        <v>254</v>
      </c>
      <c r="E343" s="5" t="s">
        <v>351</v>
      </c>
      <c r="F343" s="86">
        <v>0.5</v>
      </c>
      <c r="G343" s="21">
        <v>0</v>
      </c>
      <c r="H343" s="21">
        <f>F343*AE343</f>
        <v>0</v>
      </c>
      <c r="I343" s="21">
        <f>J343-H343</f>
        <v>0</v>
      </c>
      <c r="J343" s="21">
        <f>F343*G343</f>
        <v>0</v>
      </c>
      <c r="K343" s="21">
        <v>0.004</v>
      </c>
      <c r="L343" s="21">
        <f>F343*K343</f>
        <v>0.002</v>
      </c>
      <c r="M343" s="33" t="s">
        <v>376</v>
      </c>
      <c r="P343" s="37">
        <f>IF(AG343="5",J343,0)</f>
        <v>0</v>
      </c>
      <c r="R343" s="37">
        <f>IF(AG343="1",H343,0)</f>
        <v>0</v>
      </c>
      <c r="S343" s="37">
        <f>IF(AG343="1",I343,0)</f>
        <v>0</v>
      </c>
      <c r="T343" s="37">
        <f>IF(AG343="7",H343,0)</f>
        <v>0</v>
      </c>
      <c r="U343" s="37">
        <f>IF(AG343="7",I343,0)</f>
        <v>0</v>
      </c>
      <c r="V343" s="37">
        <f>IF(AG343="2",H343,0)</f>
        <v>0</v>
      </c>
      <c r="W343" s="37">
        <f>IF(AG343="2",I343,0)</f>
        <v>0</v>
      </c>
      <c r="X343" s="37">
        <f>IF(AG343="0",J343,0)</f>
        <v>0</v>
      </c>
      <c r="Y343" s="29" t="s">
        <v>11</v>
      </c>
      <c r="Z343" s="21">
        <f>IF(AD343=0,J343,0)</f>
        <v>0</v>
      </c>
      <c r="AA343" s="21">
        <f>IF(AD343=15,J343,0)</f>
        <v>0</v>
      </c>
      <c r="AB343" s="21">
        <f>IF(AD343=21,J343,0)</f>
        <v>0</v>
      </c>
      <c r="AD343" s="37">
        <v>21</v>
      </c>
      <c r="AE343" s="37">
        <f>G343*0</f>
        <v>0</v>
      </c>
      <c r="AF343" s="37">
        <f>G343*(1-0)</f>
        <v>0</v>
      </c>
      <c r="AG343" s="33" t="s">
        <v>7</v>
      </c>
      <c r="AM343" s="37">
        <f>F343*AE343</f>
        <v>0</v>
      </c>
      <c r="AN343" s="37">
        <f>F343*AF343</f>
        <v>0</v>
      </c>
      <c r="AO343" s="38" t="s">
        <v>395</v>
      </c>
      <c r="AP343" s="38" t="s">
        <v>422</v>
      </c>
      <c r="AQ343" s="29" t="s">
        <v>427</v>
      </c>
      <c r="AS343" s="37">
        <f>AM343+AN343</f>
        <v>0</v>
      </c>
      <c r="AT343" s="37">
        <f>G343/(100-AU343)*100</f>
        <v>0</v>
      </c>
      <c r="AU343" s="37">
        <v>0</v>
      </c>
      <c r="AV343" s="37">
        <f>L343</f>
        <v>0.002</v>
      </c>
    </row>
    <row r="344" spans="4:6" ht="12.75">
      <c r="D344" s="17" t="s">
        <v>341</v>
      </c>
      <c r="F344" s="88">
        <v>0.5</v>
      </c>
    </row>
    <row r="345" spans="1:48" ht="12.75">
      <c r="A345" s="5" t="s">
        <v>142</v>
      </c>
      <c r="B345" s="5" t="s">
        <v>11</v>
      </c>
      <c r="C345" s="5" t="s">
        <v>184</v>
      </c>
      <c r="D345" s="5" t="s">
        <v>256</v>
      </c>
      <c r="E345" s="5" t="s">
        <v>351</v>
      </c>
      <c r="F345" s="86">
        <v>2.0125</v>
      </c>
      <c r="G345" s="21">
        <v>0</v>
      </c>
      <c r="H345" s="21">
        <f>F345*AE345</f>
        <v>0</v>
      </c>
      <c r="I345" s="21">
        <f>J345-H345</f>
        <v>0</v>
      </c>
      <c r="J345" s="21">
        <f>F345*G345</f>
        <v>0</v>
      </c>
      <c r="K345" s="21">
        <v>0.055</v>
      </c>
      <c r="L345" s="21">
        <f>F345*K345</f>
        <v>0.11068750000000001</v>
      </c>
      <c r="M345" s="33" t="s">
        <v>376</v>
      </c>
      <c r="P345" s="37">
        <f>IF(AG345="5",J345,0)</f>
        <v>0</v>
      </c>
      <c r="R345" s="37">
        <f>IF(AG345="1",H345,0)</f>
        <v>0</v>
      </c>
      <c r="S345" s="37">
        <f>IF(AG345="1",I345,0)</f>
        <v>0</v>
      </c>
      <c r="T345" s="37">
        <f>IF(AG345="7",H345,0)</f>
        <v>0</v>
      </c>
      <c r="U345" s="37">
        <f>IF(AG345="7",I345,0)</f>
        <v>0</v>
      </c>
      <c r="V345" s="37">
        <f>IF(AG345="2",H345,0)</f>
        <v>0</v>
      </c>
      <c r="W345" s="37">
        <f>IF(AG345="2",I345,0)</f>
        <v>0</v>
      </c>
      <c r="X345" s="37">
        <f>IF(AG345="0",J345,0)</f>
        <v>0</v>
      </c>
      <c r="Y345" s="29" t="s">
        <v>11</v>
      </c>
      <c r="Z345" s="21">
        <f>IF(AD345=0,J345,0)</f>
        <v>0</v>
      </c>
      <c r="AA345" s="21">
        <f>IF(AD345=15,J345,0)</f>
        <v>0</v>
      </c>
      <c r="AB345" s="21">
        <f>IF(AD345=21,J345,0)</f>
        <v>0</v>
      </c>
      <c r="AD345" s="37">
        <v>21</v>
      </c>
      <c r="AE345" s="37">
        <f>G345*0</f>
        <v>0</v>
      </c>
      <c r="AF345" s="37">
        <f>G345*(1-0)</f>
        <v>0</v>
      </c>
      <c r="AG345" s="33" t="s">
        <v>7</v>
      </c>
      <c r="AM345" s="37">
        <f>F345*AE345</f>
        <v>0</v>
      </c>
      <c r="AN345" s="37">
        <f>F345*AF345</f>
        <v>0</v>
      </c>
      <c r="AO345" s="38" t="s">
        <v>395</v>
      </c>
      <c r="AP345" s="38" t="s">
        <v>422</v>
      </c>
      <c r="AQ345" s="29" t="s">
        <v>427</v>
      </c>
      <c r="AS345" s="37">
        <f>AM345+AN345</f>
        <v>0</v>
      </c>
      <c r="AT345" s="37">
        <f>G345/(100-AU345)*100</f>
        <v>0</v>
      </c>
      <c r="AU345" s="37">
        <v>0</v>
      </c>
      <c r="AV345" s="37">
        <f>L345</f>
        <v>0.11068750000000001</v>
      </c>
    </row>
    <row r="346" spans="4:6" ht="12.75">
      <c r="D346" s="17" t="s">
        <v>342</v>
      </c>
      <c r="F346" s="88">
        <v>2.0125</v>
      </c>
    </row>
    <row r="347" spans="1:37" ht="12.75">
      <c r="A347" s="4"/>
      <c r="B347" s="14" t="s">
        <v>11</v>
      </c>
      <c r="C347" s="14" t="s">
        <v>185</v>
      </c>
      <c r="D347" s="14" t="s">
        <v>258</v>
      </c>
      <c r="E347" s="4" t="s">
        <v>6</v>
      </c>
      <c r="F347" s="4" t="s">
        <v>6</v>
      </c>
      <c r="G347" s="4" t="s">
        <v>6</v>
      </c>
      <c r="H347" s="40">
        <f>SUM(H348:H350)</f>
        <v>0</v>
      </c>
      <c r="I347" s="40">
        <f>SUM(I348:I350)</f>
        <v>0</v>
      </c>
      <c r="J347" s="40">
        <f>H347+I347</f>
        <v>0</v>
      </c>
      <c r="K347" s="29"/>
      <c r="L347" s="40">
        <f>SUM(L348:L350)</f>
        <v>0</v>
      </c>
      <c r="M347" s="29"/>
      <c r="Y347" s="29" t="s">
        <v>11</v>
      </c>
      <c r="AI347" s="40">
        <f>SUM(Z348:Z350)</f>
        <v>0</v>
      </c>
      <c r="AJ347" s="40">
        <f>SUM(AA348:AA350)</f>
        <v>0</v>
      </c>
      <c r="AK347" s="40">
        <f>SUM(AB348:AB350)</f>
        <v>0</v>
      </c>
    </row>
    <row r="348" spans="1:48" ht="12.75">
      <c r="A348" s="5" t="s">
        <v>143</v>
      </c>
      <c r="B348" s="5" t="s">
        <v>11</v>
      </c>
      <c r="C348" s="5" t="s">
        <v>186</v>
      </c>
      <c r="D348" s="5" t="s">
        <v>259</v>
      </c>
      <c r="E348" s="5" t="s">
        <v>356</v>
      </c>
      <c r="F348" s="86">
        <v>0.26</v>
      </c>
      <c r="G348" s="21">
        <v>0</v>
      </c>
      <c r="H348" s="21">
        <f>F348*AE348</f>
        <v>0</v>
      </c>
      <c r="I348" s="21">
        <f>J348-H348</f>
        <v>0</v>
      </c>
      <c r="J348" s="21">
        <f>F348*G348</f>
        <v>0</v>
      </c>
      <c r="K348" s="21">
        <v>0</v>
      </c>
      <c r="L348" s="21">
        <f>F348*K348</f>
        <v>0</v>
      </c>
      <c r="M348" s="33" t="s">
        <v>376</v>
      </c>
      <c r="P348" s="37">
        <f>IF(AG348="5",J348,0)</f>
        <v>0</v>
      </c>
      <c r="R348" s="37">
        <f>IF(AG348="1",H348,0)</f>
        <v>0</v>
      </c>
      <c r="S348" s="37">
        <f>IF(AG348="1",I348,0)</f>
        <v>0</v>
      </c>
      <c r="T348" s="37">
        <f>IF(AG348="7",H348,0)</f>
        <v>0</v>
      </c>
      <c r="U348" s="37">
        <f>IF(AG348="7",I348,0)</f>
        <v>0</v>
      </c>
      <c r="V348" s="37">
        <f>IF(AG348="2",H348,0)</f>
        <v>0</v>
      </c>
      <c r="W348" s="37">
        <f>IF(AG348="2",I348,0)</f>
        <v>0</v>
      </c>
      <c r="X348" s="37">
        <f>IF(AG348="0",J348,0)</f>
        <v>0</v>
      </c>
      <c r="Y348" s="29" t="s">
        <v>11</v>
      </c>
      <c r="Z348" s="21">
        <f>IF(AD348=0,J348,0)</f>
        <v>0</v>
      </c>
      <c r="AA348" s="21">
        <f>IF(AD348=15,J348,0)</f>
        <v>0</v>
      </c>
      <c r="AB348" s="21">
        <f>IF(AD348=21,J348,0)</f>
        <v>0</v>
      </c>
      <c r="AD348" s="37">
        <v>21</v>
      </c>
      <c r="AE348" s="37">
        <f>G348*0</f>
        <v>0</v>
      </c>
      <c r="AF348" s="37">
        <f>G348*(1-0)</f>
        <v>0</v>
      </c>
      <c r="AG348" s="33" t="s">
        <v>11</v>
      </c>
      <c r="AM348" s="37">
        <f>F348*AE348</f>
        <v>0</v>
      </c>
      <c r="AN348" s="37">
        <f>F348*AF348</f>
        <v>0</v>
      </c>
      <c r="AO348" s="38" t="s">
        <v>396</v>
      </c>
      <c r="AP348" s="38" t="s">
        <v>422</v>
      </c>
      <c r="AQ348" s="29" t="s">
        <v>427</v>
      </c>
      <c r="AS348" s="37">
        <f>AM348+AN348</f>
        <v>0</v>
      </c>
      <c r="AT348" s="37">
        <f>G348/(100-AU348)*100</f>
        <v>0</v>
      </c>
      <c r="AU348" s="37">
        <v>0</v>
      </c>
      <c r="AV348" s="37">
        <f>L348</f>
        <v>0</v>
      </c>
    </row>
    <row r="349" spans="4:6" ht="12.75">
      <c r="D349" s="17" t="s">
        <v>343</v>
      </c>
      <c r="F349" s="88">
        <v>0.26</v>
      </c>
    </row>
    <row r="350" spans="1:48" ht="12.75">
      <c r="A350" s="5" t="s">
        <v>144</v>
      </c>
      <c r="B350" s="5" t="s">
        <v>11</v>
      </c>
      <c r="C350" s="5" t="s">
        <v>187</v>
      </c>
      <c r="D350" s="5" t="s">
        <v>261</v>
      </c>
      <c r="E350" s="5" t="s">
        <v>356</v>
      </c>
      <c r="F350" s="86">
        <v>5.2</v>
      </c>
      <c r="G350" s="21">
        <v>0</v>
      </c>
      <c r="H350" s="21">
        <f>F350*AE350</f>
        <v>0</v>
      </c>
      <c r="I350" s="21">
        <f>J350-H350</f>
        <v>0</v>
      </c>
      <c r="J350" s="21">
        <f>F350*G350</f>
        <v>0</v>
      </c>
      <c r="K350" s="21">
        <v>0</v>
      </c>
      <c r="L350" s="21">
        <f>F350*K350</f>
        <v>0</v>
      </c>
      <c r="M350" s="33" t="s">
        <v>376</v>
      </c>
      <c r="P350" s="37">
        <f>IF(AG350="5",J350,0)</f>
        <v>0</v>
      </c>
      <c r="R350" s="37">
        <f>IF(AG350="1",H350,0)</f>
        <v>0</v>
      </c>
      <c r="S350" s="37">
        <f>IF(AG350="1",I350,0)</f>
        <v>0</v>
      </c>
      <c r="T350" s="37">
        <f>IF(AG350="7",H350,0)</f>
        <v>0</v>
      </c>
      <c r="U350" s="37">
        <f>IF(AG350="7",I350,0)</f>
        <v>0</v>
      </c>
      <c r="V350" s="37">
        <f>IF(AG350="2",H350,0)</f>
        <v>0</v>
      </c>
      <c r="W350" s="37">
        <f>IF(AG350="2",I350,0)</f>
        <v>0</v>
      </c>
      <c r="X350" s="37">
        <f>IF(AG350="0",J350,0)</f>
        <v>0</v>
      </c>
      <c r="Y350" s="29" t="s">
        <v>11</v>
      </c>
      <c r="Z350" s="21">
        <f>IF(AD350=0,J350,0)</f>
        <v>0</v>
      </c>
      <c r="AA350" s="21">
        <f>IF(AD350=15,J350,0)</f>
        <v>0</v>
      </c>
      <c r="AB350" s="21">
        <f>IF(AD350=21,J350,0)</f>
        <v>0</v>
      </c>
      <c r="AD350" s="37">
        <v>21</v>
      </c>
      <c r="AE350" s="37">
        <f>G350*0</f>
        <v>0</v>
      </c>
      <c r="AF350" s="37">
        <f>G350*(1-0)</f>
        <v>0</v>
      </c>
      <c r="AG350" s="33" t="s">
        <v>11</v>
      </c>
      <c r="AM350" s="37">
        <f>F350*AE350</f>
        <v>0</v>
      </c>
      <c r="AN350" s="37">
        <f>F350*AF350</f>
        <v>0</v>
      </c>
      <c r="AO350" s="38" t="s">
        <v>396</v>
      </c>
      <c r="AP350" s="38" t="s">
        <v>422</v>
      </c>
      <c r="AQ350" s="29" t="s">
        <v>427</v>
      </c>
      <c r="AS350" s="37">
        <f>AM350+AN350</f>
        <v>0</v>
      </c>
      <c r="AT350" s="37">
        <f>G350/(100-AU350)*100</f>
        <v>0</v>
      </c>
      <c r="AU350" s="37">
        <v>0</v>
      </c>
      <c r="AV350" s="37">
        <f>L350</f>
        <v>0</v>
      </c>
    </row>
    <row r="351" spans="4:6" ht="12.75">
      <c r="D351" s="17" t="s">
        <v>344</v>
      </c>
      <c r="F351" s="88">
        <v>5.2</v>
      </c>
    </row>
    <row r="352" spans="1:37" ht="12.75">
      <c r="A352" s="4"/>
      <c r="B352" s="14" t="s">
        <v>11</v>
      </c>
      <c r="C352" s="14" t="s">
        <v>188</v>
      </c>
      <c r="D352" s="14" t="s">
        <v>227</v>
      </c>
      <c r="E352" s="4" t="s">
        <v>6</v>
      </c>
      <c r="F352" s="4" t="s">
        <v>6</v>
      </c>
      <c r="G352" s="4" t="s">
        <v>6</v>
      </c>
      <c r="H352" s="40">
        <f>SUM(H353:H353)</f>
        <v>0</v>
      </c>
      <c r="I352" s="40">
        <f>SUM(I353:I353)</f>
        <v>0</v>
      </c>
      <c r="J352" s="40">
        <f>H352+I352</f>
        <v>0</v>
      </c>
      <c r="K352" s="29"/>
      <c r="L352" s="40">
        <f>SUM(L353:L353)</f>
        <v>0</v>
      </c>
      <c r="M352" s="29"/>
      <c r="Y352" s="29" t="s">
        <v>11</v>
      </c>
      <c r="AI352" s="40">
        <f>SUM(Z353:Z353)</f>
        <v>0</v>
      </c>
      <c r="AJ352" s="40">
        <f>SUM(AA353:AA353)</f>
        <v>0</v>
      </c>
      <c r="AK352" s="40">
        <f>SUM(AB353:AB353)</f>
        <v>0</v>
      </c>
    </row>
    <row r="353" spans="1:48" ht="12.75">
      <c r="A353" s="5" t="s">
        <v>145</v>
      </c>
      <c r="B353" s="5" t="s">
        <v>11</v>
      </c>
      <c r="C353" s="5" t="s">
        <v>189</v>
      </c>
      <c r="D353" s="5" t="s">
        <v>263</v>
      </c>
      <c r="E353" s="5" t="s">
        <v>356</v>
      </c>
      <c r="F353" s="86">
        <v>0.26</v>
      </c>
      <c r="G353" s="21">
        <v>0</v>
      </c>
      <c r="H353" s="21">
        <f>F353*AE353</f>
        <v>0</v>
      </c>
      <c r="I353" s="21">
        <f>J353-H353</f>
        <v>0</v>
      </c>
      <c r="J353" s="21">
        <f>F353*G353</f>
        <v>0</v>
      </c>
      <c r="K353" s="21">
        <v>0</v>
      </c>
      <c r="L353" s="21">
        <f>F353*K353</f>
        <v>0</v>
      </c>
      <c r="M353" s="33" t="s">
        <v>376</v>
      </c>
      <c r="P353" s="37">
        <f>IF(AG353="5",J353,0)</f>
        <v>0</v>
      </c>
      <c r="R353" s="37">
        <f>IF(AG353="1",H353,0)</f>
        <v>0</v>
      </c>
      <c r="S353" s="37">
        <f>IF(AG353="1",I353,0)</f>
        <v>0</v>
      </c>
      <c r="T353" s="37">
        <f>IF(AG353="7",H353,0)</f>
        <v>0</v>
      </c>
      <c r="U353" s="37">
        <f>IF(AG353="7",I353,0)</f>
        <v>0</v>
      </c>
      <c r="V353" s="37">
        <f>IF(AG353="2",H353,0)</f>
        <v>0</v>
      </c>
      <c r="W353" s="37">
        <f>IF(AG353="2",I353,0)</f>
        <v>0</v>
      </c>
      <c r="X353" s="37">
        <f>IF(AG353="0",J353,0)</f>
        <v>0</v>
      </c>
      <c r="Y353" s="29" t="s">
        <v>11</v>
      </c>
      <c r="Z353" s="21">
        <f>IF(AD353=0,J353,0)</f>
        <v>0</v>
      </c>
      <c r="AA353" s="21">
        <f>IF(AD353=15,J353,0)</f>
        <v>0</v>
      </c>
      <c r="AB353" s="21">
        <f>IF(AD353=21,J353,0)</f>
        <v>0</v>
      </c>
      <c r="AD353" s="37">
        <v>21</v>
      </c>
      <c r="AE353" s="37">
        <f>G353*0</f>
        <v>0</v>
      </c>
      <c r="AF353" s="37">
        <f>G353*(1-0)</f>
        <v>0</v>
      </c>
      <c r="AG353" s="33" t="s">
        <v>11</v>
      </c>
      <c r="AM353" s="37">
        <f>F353*AE353</f>
        <v>0</v>
      </c>
      <c r="AN353" s="37">
        <f>F353*AF353</f>
        <v>0</v>
      </c>
      <c r="AO353" s="38" t="s">
        <v>397</v>
      </c>
      <c r="AP353" s="38" t="s">
        <v>422</v>
      </c>
      <c r="AQ353" s="29" t="s">
        <v>427</v>
      </c>
      <c r="AS353" s="37">
        <f>AM353+AN353</f>
        <v>0</v>
      </c>
      <c r="AT353" s="37">
        <f>G353/(100-AU353)*100</f>
        <v>0</v>
      </c>
      <c r="AU353" s="37">
        <v>0</v>
      </c>
      <c r="AV353" s="37">
        <f>L353</f>
        <v>0</v>
      </c>
    </row>
    <row r="354" spans="4:6" ht="12.75">
      <c r="D354" s="17" t="s">
        <v>343</v>
      </c>
      <c r="F354" s="88">
        <v>0.26</v>
      </c>
    </row>
    <row r="355" spans="1:37" ht="12.75">
      <c r="A355" s="4"/>
      <c r="B355" s="14" t="s">
        <v>11</v>
      </c>
      <c r="C355" s="14" t="s">
        <v>190</v>
      </c>
      <c r="D355" s="14" t="s">
        <v>265</v>
      </c>
      <c r="E355" s="4" t="s">
        <v>6</v>
      </c>
      <c r="F355" s="4" t="s">
        <v>6</v>
      </c>
      <c r="G355" s="4" t="s">
        <v>6</v>
      </c>
      <c r="H355" s="40">
        <f>SUM(H356:H362)</f>
        <v>0</v>
      </c>
      <c r="I355" s="40">
        <f>SUM(I356:I362)</f>
        <v>0</v>
      </c>
      <c r="J355" s="40">
        <f>H355+I355</f>
        <v>0</v>
      </c>
      <c r="K355" s="29"/>
      <c r="L355" s="40">
        <f>SUM(L356:L362)</f>
        <v>0</v>
      </c>
      <c r="M355" s="29"/>
      <c r="Y355" s="29" t="s">
        <v>11</v>
      </c>
      <c r="AI355" s="40">
        <f>SUM(Z356:Z362)</f>
        <v>0</v>
      </c>
      <c r="AJ355" s="40">
        <f>SUM(AA356:AA362)</f>
        <v>0</v>
      </c>
      <c r="AK355" s="40">
        <f>SUM(AB356:AB362)</f>
        <v>0</v>
      </c>
    </row>
    <row r="356" spans="1:48" ht="12.75">
      <c r="A356" s="5" t="s">
        <v>146</v>
      </c>
      <c r="B356" s="5" t="s">
        <v>11</v>
      </c>
      <c r="C356" s="5" t="s">
        <v>191</v>
      </c>
      <c r="D356" s="5" t="s">
        <v>266</v>
      </c>
      <c r="E356" s="5" t="s">
        <v>356</v>
      </c>
      <c r="F356" s="86">
        <v>0.26</v>
      </c>
      <c r="G356" s="21">
        <v>0</v>
      </c>
      <c r="H356" s="21">
        <f>F356*AE356</f>
        <v>0</v>
      </c>
      <c r="I356" s="21">
        <f>J356-H356</f>
        <v>0</v>
      </c>
      <c r="J356" s="21">
        <f>F356*G356</f>
        <v>0</v>
      </c>
      <c r="K356" s="21">
        <v>0</v>
      </c>
      <c r="L356" s="21">
        <f>F356*K356</f>
        <v>0</v>
      </c>
      <c r="M356" s="33" t="s">
        <v>376</v>
      </c>
      <c r="P356" s="37">
        <f>IF(AG356="5",J356,0)</f>
        <v>0</v>
      </c>
      <c r="R356" s="37">
        <f>IF(AG356="1",H356,0)</f>
        <v>0</v>
      </c>
      <c r="S356" s="37">
        <f>IF(AG356="1",I356,0)</f>
        <v>0</v>
      </c>
      <c r="T356" s="37">
        <f>IF(AG356="7",H356,0)</f>
        <v>0</v>
      </c>
      <c r="U356" s="37">
        <f>IF(AG356="7",I356,0)</f>
        <v>0</v>
      </c>
      <c r="V356" s="37">
        <f>IF(AG356="2",H356,0)</f>
        <v>0</v>
      </c>
      <c r="W356" s="37">
        <f>IF(AG356="2",I356,0)</f>
        <v>0</v>
      </c>
      <c r="X356" s="37">
        <f>IF(AG356="0",J356,0)</f>
        <v>0</v>
      </c>
      <c r="Y356" s="29" t="s">
        <v>11</v>
      </c>
      <c r="Z356" s="21">
        <f>IF(AD356=0,J356,0)</f>
        <v>0</v>
      </c>
      <c r="AA356" s="21">
        <f>IF(AD356=15,J356,0)</f>
        <v>0</v>
      </c>
      <c r="AB356" s="21">
        <f>IF(AD356=21,J356,0)</f>
        <v>0</v>
      </c>
      <c r="AD356" s="37">
        <v>21</v>
      </c>
      <c r="AE356" s="37">
        <f>G356*0</f>
        <v>0</v>
      </c>
      <c r="AF356" s="37">
        <f>G356*(1-0)</f>
        <v>0</v>
      </c>
      <c r="AG356" s="33" t="s">
        <v>11</v>
      </c>
      <c r="AM356" s="37">
        <f>F356*AE356</f>
        <v>0</v>
      </c>
      <c r="AN356" s="37">
        <f>F356*AF356</f>
        <v>0</v>
      </c>
      <c r="AO356" s="38" t="s">
        <v>398</v>
      </c>
      <c r="AP356" s="38" t="s">
        <v>422</v>
      </c>
      <c r="AQ356" s="29" t="s">
        <v>427</v>
      </c>
      <c r="AS356" s="37">
        <f>AM356+AN356</f>
        <v>0</v>
      </c>
      <c r="AT356" s="37">
        <f>G356/(100-AU356)*100</f>
        <v>0</v>
      </c>
      <c r="AU356" s="37">
        <v>0</v>
      </c>
      <c r="AV356" s="37">
        <f>L356</f>
        <v>0</v>
      </c>
    </row>
    <row r="357" spans="4:6" ht="12.75">
      <c r="D357" s="17" t="s">
        <v>343</v>
      </c>
      <c r="F357" s="88">
        <v>0.26</v>
      </c>
    </row>
    <row r="358" spans="1:48" ht="12.75">
      <c r="A358" s="5" t="s">
        <v>147</v>
      </c>
      <c r="B358" s="5" t="s">
        <v>11</v>
      </c>
      <c r="C358" s="5" t="s">
        <v>192</v>
      </c>
      <c r="D358" s="5" t="s">
        <v>268</v>
      </c>
      <c r="E358" s="5" t="s">
        <v>356</v>
      </c>
      <c r="F358" s="86">
        <v>0.26</v>
      </c>
      <c r="G358" s="21">
        <v>0</v>
      </c>
      <c r="H358" s="21">
        <f>F358*AE358</f>
        <v>0</v>
      </c>
      <c r="I358" s="21">
        <f>J358-H358</f>
        <v>0</v>
      </c>
      <c r="J358" s="21">
        <f>F358*G358</f>
        <v>0</v>
      </c>
      <c r="K358" s="21">
        <v>0</v>
      </c>
      <c r="L358" s="21">
        <f>F358*K358</f>
        <v>0</v>
      </c>
      <c r="M358" s="33" t="s">
        <v>376</v>
      </c>
      <c r="P358" s="37">
        <f>IF(AG358="5",J358,0)</f>
        <v>0</v>
      </c>
      <c r="R358" s="37">
        <f>IF(AG358="1",H358,0)</f>
        <v>0</v>
      </c>
      <c r="S358" s="37">
        <f>IF(AG358="1",I358,0)</f>
        <v>0</v>
      </c>
      <c r="T358" s="37">
        <f>IF(AG358="7",H358,0)</f>
        <v>0</v>
      </c>
      <c r="U358" s="37">
        <f>IF(AG358="7",I358,0)</f>
        <v>0</v>
      </c>
      <c r="V358" s="37">
        <f>IF(AG358="2",H358,0)</f>
        <v>0</v>
      </c>
      <c r="W358" s="37">
        <f>IF(AG358="2",I358,0)</f>
        <v>0</v>
      </c>
      <c r="X358" s="37">
        <f>IF(AG358="0",J358,0)</f>
        <v>0</v>
      </c>
      <c r="Y358" s="29" t="s">
        <v>11</v>
      </c>
      <c r="Z358" s="21">
        <f>IF(AD358=0,J358,0)</f>
        <v>0</v>
      </c>
      <c r="AA358" s="21">
        <f>IF(AD358=15,J358,0)</f>
        <v>0</v>
      </c>
      <c r="AB358" s="21">
        <f>IF(AD358=21,J358,0)</f>
        <v>0</v>
      </c>
      <c r="AD358" s="37">
        <v>21</v>
      </c>
      <c r="AE358" s="37">
        <f>G358*0</f>
        <v>0</v>
      </c>
      <c r="AF358" s="37">
        <f>G358*(1-0)</f>
        <v>0</v>
      </c>
      <c r="AG358" s="33" t="s">
        <v>11</v>
      </c>
      <c r="AM358" s="37">
        <f>F358*AE358</f>
        <v>0</v>
      </c>
      <c r="AN358" s="37">
        <f>F358*AF358</f>
        <v>0</v>
      </c>
      <c r="AO358" s="38" t="s">
        <v>398</v>
      </c>
      <c r="AP358" s="38" t="s">
        <v>422</v>
      </c>
      <c r="AQ358" s="29" t="s">
        <v>427</v>
      </c>
      <c r="AS358" s="37">
        <f>AM358+AN358</f>
        <v>0</v>
      </c>
      <c r="AT358" s="37">
        <f>G358/(100-AU358)*100</f>
        <v>0</v>
      </c>
      <c r="AU358" s="37">
        <v>0</v>
      </c>
      <c r="AV358" s="37">
        <f>L358</f>
        <v>0</v>
      </c>
    </row>
    <row r="359" spans="4:6" ht="12.75">
      <c r="D359" s="17" t="s">
        <v>343</v>
      </c>
      <c r="F359" s="88">
        <v>0.26</v>
      </c>
    </row>
    <row r="360" spans="1:48" ht="12.75">
      <c r="A360" s="5" t="s">
        <v>148</v>
      </c>
      <c r="B360" s="5" t="s">
        <v>11</v>
      </c>
      <c r="C360" s="5" t="s">
        <v>193</v>
      </c>
      <c r="D360" s="5" t="s">
        <v>270</v>
      </c>
      <c r="E360" s="5" t="s">
        <v>356</v>
      </c>
      <c r="F360" s="86">
        <v>0.26</v>
      </c>
      <c r="G360" s="21">
        <v>0</v>
      </c>
      <c r="H360" s="21">
        <f>F360*AE360</f>
        <v>0</v>
      </c>
      <c r="I360" s="21">
        <f>J360-H360</f>
        <v>0</v>
      </c>
      <c r="J360" s="21">
        <f>F360*G360</f>
        <v>0</v>
      </c>
      <c r="K360" s="21">
        <v>0</v>
      </c>
      <c r="L360" s="21">
        <f>F360*K360</f>
        <v>0</v>
      </c>
      <c r="M360" s="33" t="s">
        <v>376</v>
      </c>
      <c r="P360" s="37">
        <f>IF(AG360="5",J360,0)</f>
        <v>0</v>
      </c>
      <c r="R360" s="37">
        <f>IF(AG360="1",H360,0)</f>
        <v>0</v>
      </c>
      <c r="S360" s="37">
        <f>IF(AG360="1",I360,0)</f>
        <v>0</v>
      </c>
      <c r="T360" s="37">
        <f>IF(AG360="7",H360,0)</f>
        <v>0</v>
      </c>
      <c r="U360" s="37">
        <f>IF(AG360="7",I360,0)</f>
        <v>0</v>
      </c>
      <c r="V360" s="37">
        <f>IF(AG360="2",H360,0)</f>
        <v>0</v>
      </c>
      <c r="W360" s="37">
        <f>IF(AG360="2",I360,0)</f>
        <v>0</v>
      </c>
      <c r="X360" s="37">
        <f>IF(AG360="0",J360,0)</f>
        <v>0</v>
      </c>
      <c r="Y360" s="29" t="s">
        <v>11</v>
      </c>
      <c r="Z360" s="21">
        <f>IF(AD360=0,J360,0)</f>
        <v>0</v>
      </c>
      <c r="AA360" s="21">
        <f>IF(AD360=15,J360,0)</f>
        <v>0</v>
      </c>
      <c r="AB360" s="21">
        <f>IF(AD360=21,J360,0)</f>
        <v>0</v>
      </c>
      <c r="AD360" s="37">
        <v>21</v>
      </c>
      <c r="AE360" s="37">
        <f>G360*0.0101775</f>
        <v>0</v>
      </c>
      <c r="AF360" s="37">
        <f>G360*(1-0.0101775)</f>
        <v>0</v>
      </c>
      <c r="AG360" s="33" t="s">
        <v>11</v>
      </c>
      <c r="AM360" s="37">
        <f>F360*AE360</f>
        <v>0</v>
      </c>
      <c r="AN360" s="37">
        <f>F360*AF360</f>
        <v>0</v>
      </c>
      <c r="AO360" s="38" t="s">
        <v>398</v>
      </c>
      <c r="AP360" s="38" t="s">
        <v>422</v>
      </c>
      <c r="AQ360" s="29" t="s">
        <v>427</v>
      </c>
      <c r="AS360" s="37">
        <f>AM360+AN360</f>
        <v>0</v>
      </c>
      <c r="AT360" s="37">
        <f>G360/(100-AU360)*100</f>
        <v>0</v>
      </c>
      <c r="AU360" s="37">
        <v>0</v>
      </c>
      <c r="AV360" s="37">
        <f>L360</f>
        <v>0</v>
      </c>
    </row>
    <row r="361" spans="4:6" ht="12.75">
      <c r="D361" s="17" t="s">
        <v>343</v>
      </c>
      <c r="F361" s="88">
        <v>0.26</v>
      </c>
    </row>
    <row r="362" spans="1:48" ht="12.75">
      <c r="A362" s="5" t="s">
        <v>149</v>
      </c>
      <c r="B362" s="5" t="s">
        <v>11</v>
      </c>
      <c r="C362" s="5" t="s">
        <v>194</v>
      </c>
      <c r="D362" s="5" t="s">
        <v>271</v>
      </c>
      <c r="E362" s="5" t="s">
        <v>356</v>
      </c>
      <c r="F362" s="86">
        <v>0.26</v>
      </c>
      <c r="G362" s="21">
        <v>0</v>
      </c>
      <c r="H362" s="21">
        <f>F362*AE362</f>
        <v>0</v>
      </c>
      <c r="I362" s="21">
        <f>J362-H362</f>
        <v>0</v>
      </c>
      <c r="J362" s="21">
        <f>F362*G362</f>
        <v>0</v>
      </c>
      <c r="K362" s="21">
        <v>0</v>
      </c>
      <c r="L362" s="21">
        <f>F362*K362</f>
        <v>0</v>
      </c>
      <c r="M362" s="33" t="s">
        <v>376</v>
      </c>
      <c r="P362" s="37">
        <f>IF(AG362="5",J362,0)</f>
        <v>0</v>
      </c>
      <c r="R362" s="37">
        <f>IF(AG362="1",H362,0)</f>
        <v>0</v>
      </c>
      <c r="S362" s="37">
        <f>IF(AG362="1",I362,0)</f>
        <v>0</v>
      </c>
      <c r="T362" s="37">
        <f>IF(AG362="7",H362,0)</f>
        <v>0</v>
      </c>
      <c r="U362" s="37">
        <f>IF(AG362="7",I362,0)</f>
        <v>0</v>
      </c>
      <c r="V362" s="37">
        <f>IF(AG362="2",H362,0)</f>
        <v>0</v>
      </c>
      <c r="W362" s="37">
        <f>IF(AG362="2",I362,0)</f>
        <v>0</v>
      </c>
      <c r="X362" s="37">
        <f>IF(AG362="0",J362,0)</f>
        <v>0</v>
      </c>
      <c r="Y362" s="29" t="s">
        <v>11</v>
      </c>
      <c r="Z362" s="21">
        <f>IF(AD362=0,J362,0)</f>
        <v>0</v>
      </c>
      <c r="AA362" s="21">
        <f>IF(AD362=15,J362,0)</f>
        <v>0</v>
      </c>
      <c r="AB362" s="21">
        <f>IF(AD362=21,J362,0)</f>
        <v>0</v>
      </c>
      <c r="AD362" s="37">
        <v>21</v>
      </c>
      <c r="AE362" s="37">
        <f>G362*0</f>
        <v>0</v>
      </c>
      <c r="AF362" s="37">
        <f>G362*(1-0)</f>
        <v>0</v>
      </c>
      <c r="AG362" s="33" t="s">
        <v>11</v>
      </c>
      <c r="AM362" s="37">
        <f>F362*AE362</f>
        <v>0</v>
      </c>
      <c r="AN362" s="37">
        <f>F362*AF362</f>
        <v>0</v>
      </c>
      <c r="AO362" s="38" t="s">
        <v>398</v>
      </c>
      <c r="AP362" s="38" t="s">
        <v>422</v>
      </c>
      <c r="AQ362" s="29" t="s">
        <v>427</v>
      </c>
      <c r="AS362" s="37">
        <f>AM362+AN362</f>
        <v>0</v>
      </c>
      <c r="AT362" s="37">
        <f>G362/(100-AU362)*100</f>
        <v>0</v>
      </c>
      <c r="AU362" s="37">
        <v>0</v>
      </c>
      <c r="AV362" s="37">
        <f>L362</f>
        <v>0</v>
      </c>
    </row>
    <row r="363" spans="1:13" ht="12.75">
      <c r="A363" s="8"/>
      <c r="B363" s="8"/>
      <c r="C363" s="8"/>
      <c r="D363" s="18" t="s">
        <v>343</v>
      </c>
      <c r="E363" s="8"/>
      <c r="F363" s="89">
        <v>0.26</v>
      </c>
      <c r="G363" s="8"/>
      <c r="H363" s="8"/>
      <c r="I363" s="8"/>
      <c r="J363" s="8"/>
      <c r="K363" s="8"/>
      <c r="L363" s="8"/>
      <c r="M363" s="8"/>
    </row>
    <row r="364" spans="1:13" ht="12.75">
      <c r="A364" s="9"/>
      <c r="B364" s="9"/>
      <c r="C364" s="9"/>
      <c r="D364" s="9"/>
      <c r="E364" s="9"/>
      <c r="F364" s="9"/>
      <c r="G364" s="9"/>
      <c r="H364" s="108" t="s">
        <v>363</v>
      </c>
      <c r="I364" s="109"/>
      <c r="J364" s="42">
        <f>ROUND(J13+J16+J21+J24+J34+J39+J52+J57+J62+J67+J80+J85+J88+J98+J101+J106+J109+J116+J121+J124+J129+J138+J143+J146+J156+J159+J164+J167+J177+J182+J195+J200+J205+J210+J223+J228+J231+J241+J244+J249+J252+J259+J264+J269+J274+J279+J292+J297+J300+J310+J315+J318+J325+J330+J333+J338+J347+J352+J355,0)</f>
        <v>0</v>
      </c>
      <c r="K364" s="9"/>
      <c r="L364" s="9"/>
      <c r="M364" s="9"/>
    </row>
    <row r="365" ht="11.25" customHeight="1">
      <c r="A365" s="10" t="s">
        <v>150</v>
      </c>
    </row>
    <row r="366" spans="1:13" ht="12.75">
      <c r="A366" s="103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</sheetData>
  <sheetProtection/>
  <mergeCells count="29">
    <mergeCell ref="H10:J10"/>
    <mergeCell ref="K10:L10"/>
    <mergeCell ref="H364:I364"/>
    <mergeCell ref="A366:M36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90" t="s">
        <v>428</v>
      </c>
      <c r="B1" s="91"/>
      <c r="C1" s="91"/>
      <c r="D1" s="91"/>
      <c r="E1" s="91"/>
      <c r="F1" s="91"/>
      <c r="G1" s="91"/>
    </row>
    <row r="2" spans="1:8" ht="12.75">
      <c r="A2" s="92" t="s">
        <v>1</v>
      </c>
      <c r="B2" s="96" t="str">
        <f>'Stavební rozpočet'!D2</f>
        <v>Výměna oken na historické budově </v>
      </c>
      <c r="C2" s="109"/>
      <c r="D2" s="99" t="s">
        <v>364</v>
      </c>
      <c r="E2" s="99" t="str">
        <f>'Stavební rozpočet'!J2</f>
        <v>Střední vinařská škola Valtice</v>
      </c>
      <c r="F2" s="93"/>
      <c r="G2" s="100"/>
      <c r="H2" s="35"/>
    </row>
    <row r="3" spans="1:8" ht="12.75">
      <c r="A3" s="94"/>
      <c r="B3" s="97"/>
      <c r="C3" s="97"/>
      <c r="D3" s="95"/>
      <c r="E3" s="95"/>
      <c r="F3" s="95"/>
      <c r="G3" s="101"/>
      <c r="H3" s="35"/>
    </row>
    <row r="4" spans="1:8" ht="12.75">
      <c r="A4" s="102" t="s">
        <v>2</v>
      </c>
      <c r="B4" s="103" t="str">
        <f>'Stavební rozpočet'!D4</f>
        <v>školství</v>
      </c>
      <c r="C4" s="95"/>
      <c r="D4" s="103" t="s">
        <v>365</v>
      </c>
      <c r="E4" s="103" t="str">
        <f>'Stavební rozpočet'!J4</f>
        <v>Ing.Zbyněk Rabušic</v>
      </c>
      <c r="F4" s="95"/>
      <c r="G4" s="101"/>
      <c r="H4" s="35"/>
    </row>
    <row r="5" spans="1:8" ht="12.75">
      <c r="A5" s="94"/>
      <c r="B5" s="95"/>
      <c r="C5" s="95"/>
      <c r="D5" s="95"/>
      <c r="E5" s="95"/>
      <c r="F5" s="95"/>
      <c r="G5" s="101"/>
      <c r="H5" s="35"/>
    </row>
    <row r="6" spans="1:8" ht="12.75">
      <c r="A6" s="102" t="s">
        <v>3</v>
      </c>
      <c r="B6" s="103" t="str">
        <f>'Stavební rozpočet'!D6</f>
        <v>Sobotní 116, Valtice </v>
      </c>
      <c r="C6" s="95"/>
      <c r="D6" s="103" t="s">
        <v>366</v>
      </c>
      <c r="E6" s="103" t="str">
        <f>'Stavební rozpočet'!J6</f>
        <v>dle výběrového řízení</v>
      </c>
      <c r="F6" s="95"/>
      <c r="G6" s="101"/>
      <c r="H6" s="35"/>
    </row>
    <row r="7" spans="1:8" ht="12.75">
      <c r="A7" s="94"/>
      <c r="B7" s="95"/>
      <c r="C7" s="95"/>
      <c r="D7" s="95"/>
      <c r="E7" s="95"/>
      <c r="F7" s="95"/>
      <c r="G7" s="101"/>
      <c r="H7" s="35"/>
    </row>
    <row r="8" spans="1:8" ht="12.75">
      <c r="A8" s="102" t="s">
        <v>367</v>
      </c>
      <c r="B8" s="103" t="str">
        <f>'Stavební rozpočet'!J8</f>
        <v>Ing.Zbyněk Rabušic</v>
      </c>
      <c r="C8" s="95"/>
      <c r="D8" s="104" t="s">
        <v>348</v>
      </c>
      <c r="E8" s="103" t="str">
        <f>'Stavební rozpočet'!G8</f>
        <v>04.09.2018</v>
      </c>
      <c r="F8" s="95"/>
      <c r="G8" s="101"/>
      <c r="H8" s="35"/>
    </row>
    <row r="9" spans="1:8" ht="12.75">
      <c r="A9" s="110"/>
      <c r="B9" s="111"/>
      <c r="C9" s="111"/>
      <c r="D9" s="111"/>
      <c r="E9" s="111"/>
      <c r="F9" s="111"/>
      <c r="G9" s="112"/>
      <c r="H9" s="35"/>
    </row>
    <row r="10" spans="1:8" ht="12.75">
      <c r="A10" s="43" t="s">
        <v>151</v>
      </c>
      <c r="B10" s="45" t="s">
        <v>152</v>
      </c>
      <c r="C10" s="46" t="s">
        <v>200</v>
      </c>
      <c r="D10" s="47" t="s">
        <v>429</v>
      </c>
      <c r="E10" s="47" t="s">
        <v>430</v>
      </c>
      <c r="F10" s="47" t="s">
        <v>431</v>
      </c>
      <c r="G10" s="49" t="s">
        <v>432</v>
      </c>
      <c r="H10" s="36"/>
    </row>
    <row r="11" spans="1:9" ht="12.75">
      <c r="A11" s="44" t="s">
        <v>7</v>
      </c>
      <c r="B11" s="44"/>
      <c r="C11" s="44" t="s">
        <v>202</v>
      </c>
      <c r="D11" s="50">
        <f>'Stavební rozpočet'!H12</f>
        <v>0</v>
      </c>
      <c r="E11" s="50">
        <f>'Stavební rozpočet'!I12</f>
        <v>0</v>
      </c>
      <c r="F11" s="50">
        <f aca="true" t="shared" si="0" ref="F11:F42">D11+E11</f>
        <v>0</v>
      </c>
      <c r="G11" s="50">
        <f>'Stavební rozpočet'!L12</f>
        <v>30.6624244</v>
      </c>
      <c r="H11" s="37" t="s">
        <v>433</v>
      </c>
      <c r="I11" s="37">
        <f aca="true" t="shared" si="1" ref="I11:I42">IF(H11="F",0,F11)</f>
        <v>0</v>
      </c>
    </row>
    <row r="12" spans="1:9" ht="12.75">
      <c r="A12" s="19" t="s">
        <v>7</v>
      </c>
      <c r="B12" s="19" t="s">
        <v>40</v>
      </c>
      <c r="C12" s="19" t="s">
        <v>203</v>
      </c>
      <c r="D12" s="37">
        <f>'Stavební rozpočet'!H13</f>
        <v>0</v>
      </c>
      <c r="E12" s="37">
        <f>'Stavební rozpočet'!I13</f>
        <v>0</v>
      </c>
      <c r="F12" s="37">
        <f t="shared" si="0"/>
        <v>0</v>
      </c>
      <c r="G12" s="37">
        <f>'Stavební rozpočet'!L13</f>
        <v>15.766499999999999</v>
      </c>
      <c r="H12" s="37" t="s">
        <v>434</v>
      </c>
      <c r="I12" s="37">
        <f t="shared" si="1"/>
        <v>0</v>
      </c>
    </row>
    <row r="13" spans="1:9" ht="12.75">
      <c r="A13" s="19" t="s">
        <v>7</v>
      </c>
      <c r="B13" s="19" t="s">
        <v>67</v>
      </c>
      <c r="C13" s="19" t="s">
        <v>206</v>
      </c>
      <c r="D13" s="37">
        <f>'Stavební rozpočet'!H16</f>
        <v>0</v>
      </c>
      <c r="E13" s="37">
        <f>'Stavební rozpočet'!I16</f>
        <v>0</v>
      </c>
      <c r="F13" s="37">
        <f t="shared" si="0"/>
        <v>0</v>
      </c>
      <c r="G13" s="37">
        <f>'Stavební rozpočet'!L16</f>
        <v>2.4341498999999995</v>
      </c>
      <c r="H13" s="37" t="s">
        <v>434</v>
      </c>
      <c r="I13" s="37">
        <f t="shared" si="1"/>
        <v>0</v>
      </c>
    </row>
    <row r="14" spans="1:9" ht="12.75">
      <c r="A14" s="19" t="s">
        <v>7</v>
      </c>
      <c r="B14" s="19" t="s">
        <v>156</v>
      </c>
      <c r="C14" s="19" t="s">
        <v>211</v>
      </c>
      <c r="D14" s="37">
        <f>'Stavební rozpočet'!H21</f>
        <v>0</v>
      </c>
      <c r="E14" s="37">
        <f>'Stavební rozpočet'!I21</f>
        <v>0</v>
      </c>
      <c r="F14" s="37">
        <f t="shared" si="0"/>
        <v>0</v>
      </c>
      <c r="G14" s="37">
        <f>'Stavební rozpočet'!L21</f>
        <v>0</v>
      </c>
      <c r="H14" s="37" t="s">
        <v>434</v>
      </c>
      <c r="I14" s="37">
        <f t="shared" si="1"/>
        <v>0</v>
      </c>
    </row>
    <row r="15" spans="1:9" ht="12.75">
      <c r="A15" s="19" t="s">
        <v>7</v>
      </c>
      <c r="B15" s="19" t="s">
        <v>70</v>
      </c>
      <c r="C15" s="19" t="s">
        <v>214</v>
      </c>
      <c r="D15" s="37">
        <f>'Stavební rozpočet'!H24</f>
        <v>0</v>
      </c>
      <c r="E15" s="37">
        <f>'Stavební rozpočet'!I24</f>
        <v>0</v>
      </c>
      <c r="F15" s="37">
        <f t="shared" si="0"/>
        <v>0</v>
      </c>
      <c r="G15" s="37">
        <f>'Stavební rozpočet'!L24</f>
        <v>2.095185</v>
      </c>
      <c r="H15" s="37" t="s">
        <v>434</v>
      </c>
      <c r="I15" s="37">
        <f t="shared" si="1"/>
        <v>0</v>
      </c>
    </row>
    <row r="16" spans="1:9" ht="12.75">
      <c r="A16" s="19" t="s">
        <v>7</v>
      </c>
      <c r="B16" s="19" t="s">
        <v>162</v>
      </c>
      <c r="C16" s="19" t="s">
        <v>223</v>
      </c>
      <c r="D16" s="37">
        <f>'Stavební rozpočet'!H34</f>
        <v>0</v>
      </c>
      <c r="E16" s="37">
        <f>'Stavební rozpočet'!I34</f>
        <v>0</v>
      </c>
      <c r="F16" s="37">
        <f t="shared" si="0"/>
        <v>0</v>
      </c>
      <c r="G16" s="37">
        <f>'Stavební rozpočet'!L34</f>
        <v>0.2826795</v>
      </c>
      <c r="H16" s="37" t="s">
        <v>434</v>
      </c>
      <c r="I16" s="37">
        <f t="shared" si="1"/>
        <v>0</v>
      </c>
    </row>
    <row r="17" spans="1:9" ht="12.75">
      <c r="A17" s="19" t="s">
        <v>7</v>
      </c>
      <c r="B17" s="19" t="s">
        <v>165</v>
      </c>
      <c r="C17" s="19" t="s">
        <v>227</v>
      </c>
      <c r="D17" s="37">
        <f>'Stavební rozpočet'!H39</f>
        <v>0</v>
      </c>
      <c r="E17" s="37">
        <f>'Stavební rozpočet'!I39</f>
        <v>0</v>
      </c>
      <c r="F17" s="37">
        <f t="shared" si="0"/>
        <v>0</v>
      </c>
      <c r="G17" s="37">
        <f>'Stavební rozpočet'!L39</f>
        <v>2.35352</v>
      </c>
      <c r="H17" s="37" t="s">
        <v>434</v>
      </c>
      <c r="I17" s="37">
        <f t="shared" si="1"/>
        <v>0</v>
      </c>
    </row>
    <row r="18" spans="1:9" ht="12.75">
      <c r="A18" s="19" t="s">
        <v>7</v>
      </c>
      <c r="B18" s="19" t="s">
        <v>170</v>
      </c>
      <c r="C18" s="19" t="s">
        <v>234</v>
      </c>
      <c r="D18" s="37">
        <f>'Stavební rozpočet'!H52</f>
        <v>0</v>
      </c>
      <c r="E18" s="37">
        <f>'Stavební rozpočet'!I52</f>
        <v>0</v>
      </c>
      <c r="F18" s="37">
        <f t="shared" si="0"/>
        <v>0</v>
      </c>
      <c r="G18" s="37">
        <f>'Stavební rozpočet'!L52</f>
        <v>0.011179999999999999</v>
      </c>
      <c r="H18" s="37" t="s">
        <v>434</v>
      </c>
      <c r="I18" s="37">
        <f t="shared" si="1"/>
        <v>0</v>
      </c>
    </row>
    <row r="19" spans="1:9" ht="12.75">
      <c r="A19" s="19" t="s">
        <v>7</v>
      </c>
      <c r="B19" s="19" t="s">
        <v>173</v>
      </c>
      <c r="C19" s="19" t="s">
        <v>237</v>
      </c>
      <c r="D19" s="37">
        <f>'Stavební rozpočet'!H57</f>
        <v>0</v>
      </c>
      <c r="E19" s="37">
        <f>'Stavební rozpočet'!I57</f>
        <v>0</v>
      </c>
      <c r="F19" s="37">
        <f t="shared" si="0"/>
        <v>0</v>
      </c>
      <c r="G19" s="37">
        <f>'Stavební rozpočet'!L57</f>
        <v>0.0459558</v>
      </c>
      <c r="H19" s="37" t="s">
        <v>434</v>
      </c>
      <c r="I19" s="37">
        <f t="shared" si="1"/>
        <v>0</v>
      </c>
    </row>
    <row r="20" spans="1:9" ht="12.75">
      <c r="A20" s="19" t="s">
        <v>7</v>
      </c>
      <c r="B20" s="19" t="s">
        <v>176</v>
      </c>
      <c r="C20" s="19" t="s">
        <v>241</v>
      </c>
      <c r="D20" s="37">
        <f>'Stavební rozpočet'!H62</f>
        <v>0</v>
      </c>
      <c r="E20" s="37">
        <f>'Stavební rozpočet'!I62</f>
        <v>0</v>
      </c>
      <c r="F20" s="37">
        <f t="shared" si="0"/>
        <v>0</v>
      </c>
      <c r="G20" s="37">
        <f>'Stavební rozpočet'!L62</f>
        <v>0.056175</v>
      </c>
      <c r="H20" s="37" t="s">
        <v>434</v>
      </c>
      <c r="I20" s="37">
        <f t="shared" si="1"/>
        <v>0</v>
      </c>
    </row>
    <row r="21" spans="1:9" ht="12.75">
      <c r="A21" s="19" t="s">
        <v>7</v>
      </c>
      <c r="B21" s="19" t="s">
        <v>102</v>
      </c>
      <c r="C21" s="19" t="s">
        <v>245</v>
      </c>
      <c r="D21" s="37">
        <f>'Stavební rozpočet'!H67</f>
        <v>0</v>
      </c>
      <c r="E21" s="37">
        <f>'Stavební rozpočet'!I67</f>
        <v>0</v>
      </c>
      <c r="F21" s="37">
        <f t="shared" si="0"/>
        <v>0</v>
      </c>
      <c r="G21" s="37">
        <f>'Stavební rozpočet'!L67</f>
        <v>7.6170792</v>
      </c>
      <c r="H21" s="37" t="s">
        <v>434</v>
      </c>
      <c r="I21" s="37">
        <f t="shared" si="1"/>
        <v>0</v>
      </c>
    </row>
    <row r="22" spans="1:9" ht="12.75">
      <c r="A22" s="19" t="s">
        <v>7</v>
      </c>
      <c r="B22" s="19" t="s">
        <v>185</v>
      </c>
      <c r="C22" s="19" t="s">
        <v>258</v>
      </c>
      <c r="D22" s="37">
        <f>'Stavební rozpočet'!H80</f>
        <v>0</v>
      </c>
      <c r="E22" s="37">
        <f>'Stavební rozpočet'!I80</f>
        <v>0</v>
      </c>
      <c r="F22" s="37">
        <f t="shared" si="0"/>
        <v>0</v>
      </c>
      <c r="G22" s="37">
        <f>'Stavební rozpočet'!L80</f>
        <v>0</v>
      </c>
      <c r="H22" s="37" t="s">
        <v>434</v>
      </c>
      <c r="I22" s="37">
        <f t="shared" si="1"/>
        <v>0</v>
      </c>
    </row>
    <row r="23" spans="1:9" ht="12.75">
      <c r="A23" s="19" t="s">
        <v>7</v>
      </c>
      <c r="B23" s="19" t="s">
        <v>188</v>
      </c>
      <c r="C23" s="19" t="s">
        <v>227</v>
      </c>
      <c r="D23" s="37">
        <f>'Stavební rozpočet'!H85</f>
        <v>0</v>
      </c>
      <c r="E23" s="37">
        <f>'Stavební rozpočet'!I85</f>
        <v>0</v>
      </c>
      <c r="F23" s="37">
        <f t="shared" si="0"/>
        <v>0</v>
      </c>
      <c r="G23" s="37">
        <f>'Stavební rozpočet'!L85</f>
        <v>0</v>
      </c>
      <c r="H23" s="37" t="s">
        <v>434</v>
      </c>
      <c r="I23" s="37">
        <f t="shared" si="1"/>
        <v>0</v>
      </c>
    </row>
    <row r="24" spans="1:9" ht="12.75">
      <c r="A24" s="19" t="s">
        <v>7</v>
      </c>
      <c r="B24" s="19" t="s">
        <v>190</v>
      </c>
      <c r="C24" s="19" t="s">
        <v>265</v>
      </c>
      <c r="D24" s="37">
        <f>'Stavební rozpočet'!H88</f>
        <v>0</v>
      </c>
      <c r="E24" s="37">
        <f>'Stavební rozpočet'!I88</f>
        <v>0</v>
      </c>
      <c r="F24" s="37">
        <f t="shared" si="0"/>
        <v>0</v>
      </c>
      <c r="G24" s="37">
        <f>'Stavební rozpočet'!L88</f>
        <v>0</v>
      </c>
      <c r="H24" s="37" t="s">
        <v>434</v>
      </c>
      <c r="I24" s="37">
        <f t="shared" si="1"/>
        <v>0</v>
      </c>
    </row>
    <row r="25" spans="1:9" ht="12.75">
      <c r="A25" s="19" t="s">
        <v>8</v>
      </c>
      <c r="B25" s="19"/>
      <c r="C25" s="19" t="s">
        <v>272</v>
      </c>
      <c r="D25" s="37">
        <f>'Stavební rozpočet'!H97</f>
        <v>0</v>
      </c>
      <c r="E25" s="37">
        <f>'Stavební rozpočet'!I97</f>
        <v>0</v>
      </c>
      <c r="F25" s="37">
        <f t="shared" si="0"/>
        <v>0</v>
      </c>
      <c r="G25" s="37">
        <f>'Stavební rozpočet'!L97</f>
        <v>13.828502879999998</v>
      </c>
      <c r="H25" s="37" t="s">
        <v>433</v>
      </c>
      <c r="I25" s="37">
        <f t="shared" si="1"/>
        <v>0</v>
      </c>
    </row>
    <row r="26" spans="1:9" ht="12.75">
      <c r="A26" s="19" t="s">
        <v>8</v>
      </c>
      <c r="B26" s="19" t="s">
        <v>40</v>
      </c>
      <c r="C26" s="19" t="s">
        <v>203</v>
      </c>
      <c r="D26" s="37">
        <f>'Stavební rozpočet'!H98</f>
        <v>0</v>
      </c>
      <c r="E26" s="37">
        <f>'Stavební rozpočet'!I98</f>
        <v>0</v>
      </c>
      <c r="F26" s="37">
        <f t="shared" si="0"/>
        <v>0</v>
      </c>
      <c r="G26" s="37">
        <f>'Stavební rozpočet'!L98</f>
        <v>7.567919999999999</v>
      </c>
      <c r="H26" s="37" t="s">
        <v>434</v>
      </c>
      <c r="I26" s="37">
        <f t="shared" si="1"/>
        <v>0</v>
      </c>
    </row>
    <row r="27" spans="1:9" ht="12.75">
      <c r="A27" s="19" t="s">
        <v>8</v>
      </c>
      <c r="B27" s="19" t="s">
        <v>67</v>
      </c>
      <c r="C27" s="19" t="s">
        <v>206</v>
      </c>
      <c r="D27" s="37">
        <f>'Stavební rozpočet'!H101</f>
        <v>0</v>
      </c>
      <c r="E27" s="37">
        <f>'Stavební rozpočet'!I101</f>
        <v>0</v>
      </c>
      <c r="F27" s="37">
        <f t="shared" si="0"/>
        <v>0</v>
      </c>
      <c r="G27" s="37">
        <f>'Stavební rozpočet'!L101</f>
        <v>1.0947059999999997</v>
      </c>
      <c r="H27" s="37" t="s">
        <v>434</v>
      </c>
      <c r="I27" s="37">
        <f t="shared" si="1"/>
        <v>0</v>
      </c>
    </row>
    <row r="28" spans="1:9" ht="12.75">
      <c r="A28" s="19" t="s">
        <v>8</v>
      </c>
      <c r="B28" s="19" t="s">
        <v>156</v>
      </c>
      <c r="C28" s="19" t="s">
        <v>211</v>
      </c>
      <c r="D28" s="37">
        <f>'Stavební rozpočet'!H106</f>
        <v>0</v>
      </c>
      <c r="E28" s="37">
        <f>'Stavební rozpočet'!I106</f>
        <v>0</v>
      </c>
      <c r="F28" s="37">
        <f t="shared" si="0"/>
        <v>0</v>
      </c>
      <c r="G28" s="37">
        <f>'Stavební rozpočet'!L106</f>
        <v>0</v>
      </c>
      <c r="H28" s="37" t="s">
        <v>434</v>
      </c>
      <c r="I28" s="37">
        <f t="shared" si="1"/>
        <v>0</v>
      </c>
    </row>
    <row r="29" spans="1:9" ht="12.75">
      <c r="A29" s="19" t="s">
        <v>8</v>
      </c>
      <c r="B29" s="19" t="s">
        <v>70</v>
      </c>
      <c r="C29" s="19" t="s">
        <v>214</v>
      </c>
      <c r="D29" s="37">
        <f>'Stavební rozpočet'!H109</f>
        <v>0</v>
      </c>
      <c r="E29" s="37">
        <f>'Stavební rozpočet'!I109</f>
        <v>0</v>
      </c>
      <c r="F29" s="37">
        <f t="shared" si="0"/>
        <v>0</v>
      </c>
      <c r="G29" s="37">
        <f>'Stavební rozpočet'!L109</f>
        <v>0.969708</v>
      </c>
      <c r="H29" s="37" t="s">
        <v>434</v>
      </c>
      <c r="I29" s="37">
        <f t="shared" si="1"/>
        <v>0</v>
      </c>
    </row>
    <row r="30" spans="1:9" ht="12.75">
      <c r="A30" s="19" t="s">
        <v>8</v>
      </c>
      <c r="B30" s="19" t="s">
        <v>162</v>
      </c>
      <c r="C30" s="19" t="s">
        <v>223</v>
      </c>
      <c r="D30" s="37">
        <f>'Stavební rozpočet'!H116</f>
        <v>0</v>
      </c>
      <c r="E30" s="37">
        <f>'Stavební rozpočet'!I116</f>
        <v>0</v>
      </c>
      <c r="F30" s="37">
        <f t="shared" si="0"/>
        <v>0</v>
      </c>
      <c r="G30" s="37">
        <f>'Stavební rozpočet'!L116</f>
        <v>0.12895199999999998</v>
      </c>
      <c r="H30" s="37" t="s">
        <v>434</v>
      </c>
      <c r="I30" s="37">
        <f t="shared" si="1"/>
        <v>0</v>
      </c>
    </row>
    <row r="31" spans="1:9" ht="12.75">
      <c r="A31" s="19" t="s">
        <v>8</v>
      </c>
      <c r="B31" s="19" t="s">
        <v>165</v>
      </c>
      <c r="C31" s="19" t="s">
        <v>227</v>
      </c>
      <c r="D31" s="37">
        <f>'Stavební rozpočet'!H121</f>
        <v>0</v>
      </c>
      <c r="E31" s="37">
        <f>'Stavební rozpočet'!I121</f>
        <v>0</v>
      </c>
      <c r="F31" s="37">
        <f t="shared" si="0"/>
        <v>0</v>
      </c>
      <c r="G31" s="37">
        <f>'Stavební rozpočet'!L121</f>
        <v>0.96</v>
      </c>
      <c r="H31" s="37" t="s">
        <v>434</v>
      </c>
      <c r="I31" s="37">
        <f t="shared" si="1"/>
        <v>0</v>
      </c>
    </row>
    <row r="32" spans="1:9" ht="12.75">
      <c r="A32" s="19" t="s">
        <v>8</v>
      </c>
      <c r="B32" s="19" t="s">
        <v>176</v>
      </c>
      <c r="C32" s="19" t="s">
        <v>241</v>
      </c>
      <c r="D32" s="37">
        <f>'Stavební rozpočet'!H124</f>
        <v>0</v>
      </c>
      <c r="E32" s="37">
        <f>'Stavební rozpočet'!I124</f>
        <v>0</v>
      </c>
      <c r="F32" s="37">
        <f t="shared" si="0"/>
        <v>0</v>
      </c>
      <c r="G32" s="37">
        <f>'Stavební rozpočet'!L124</f>
        <v>0.026964</v>
      </c>
      <c r="H32" s="37" t="s">
        <v>434</v>
      </c>
      <c r="I32" s="37">
        <f t="shared" si="1"/>
        <v>0</v>
      </c>
    </row>
    <row r="33" spans="1:9" ht="12.75">
      <c r="A33" s="19" t="s">
        <v>8</v>
      </c>
      <c r="B33" s="19" t="s">
        <v>102</v>
      </c>
      <c r="C33" s="19" t="s">
        <v>245</v>
      </c>
      <c r="D33" s="37">
        <f>'Stavební rozpočet'!H129</f>
        <v>0</v>
      </c>
      <c r="E33" s="37">
        <f>'Stavební rozpočet'!I129</f>
        <v>0</v>
      </c>
      <c r="F33" s="37">
        <f t="shared" si="0"/>
        <v>0</v>
      </c>
      <c r="G33" s="37">
        <f>'Stavební rozpočet'!L129</f>
        <v>3.0802528799999997</v>
      </c>
      <c r="H33" s="37" t="s">
        <v>434</v>
      </c>
      <c r="I33" s="37">
        <f t="shared" si="1"/>
        <v>0</v>
      </c>
    </row>
    <row r="34" spans="1:9" ht="12.75">
      <c r="A34" s="19" t="s">
        <v>8</v>
      </c>
      <c r="B34" s="19" t="s">
        <v>185</v>
      </c>
      <c r="C34" s="19" t="s">
        <v>258</v>
      </c>
      <c r="D34" s="37">
        <f>'Stavební rozpočet'!H138</f>
        <v>0</v>
      </c>
      <c r="E34" s="37">
        <f>'Stavební rozpočet'!I138</f>
        <v>0</v>
      </c>
      <c r="F34" s="37">
        <f t="shared" si="0"/>
        <v>0</v>
      </c>
      <c r="G34" s="37">
        <f>'Stavební rozpočet'!L138</f>
        <v>0</v>
      </c>
      <c r="H34" s="37" t="s">
        <v>434</v>
      </c>
      <c r="I34" s="37">
        <f t="shared" si="1"/>
        <v>0</v>
      </c>
    </row>
    <row r="35" spans="1:9" ht="12.75">
      <c r="A35" s="19" t="s">
        <v>8</v>
      </c>
      <c r="B35" s="19" t="s">
        <v>188</v>
      </c>
      <c r="C35" s="19" t="s">
        <v>227</v>
      </c>
      <c r="D35" s="37">
        <f>'Stavební rozpočet'!H143</f>
        <v>0</v>
      </c>
      <c r="E35" s="37">
        <f>'Stavební rozpočet'!I143</f>
        <v>0</v>
      </c>
      <c r="F35" s="37">
        <f t="shared" si="0"/>
        <v>0</v>
      </c>
      <c r="G35" s="37">
        <f>'Stavební rozpočet'!L143</f>
        <v>0</v>
      </c>
      <c r="H35" s="37" t="s">
        <v>434</v>
      </c>
      <c r="I35" s="37">
        <f t="shared" si="1"/>
        <v>0</v>
      </c>
    </row>
    <row r="36" spans="1:9" ht="12.75">
      <c r="A36" s="19" t="s">
        <v>8</v>
      </c>
      <c r="B36" s="19" t="s">
        <v>190</v>
      </c>
      <c r="C36" s="19" t="s">
        <v>265</v>
      </c>
      <c r="D36" s="37">
        <f>'Stavební rozpočet'!H146</f>
        <v>0</v>
      </c>
      <c r="E36" s="37">
        <f>'Stavební rozpočet'!I146</f>
        <v>0</v>
      </c>
      <c r="F36" s="37">
        <f t="shared" si="0"/>
        <v>0</v>
      </c>
      <c r="G36" s="37">
        <f>'Stavební rozpočet'!L146</f>
        <v>0</v>
      </c>
      <c r="H36" s="37" t="s">
        <v>434</v>
      </c>
      <c r="I36" s="37">
        <f t="shared" si="1"/>
        <v>0</v>
      </c>
    </row>
    <row r="37" spans="1:9" ht="12.75">
      <c r="A37" s="19" t="s">
        <v>9</v>
      </c>
      <c r="B37" s="19"/>
      <c r="C37" s="19" t="s">
        <v>289</v>
      </c>
      <c r="D37" s="37">
        <f>'Stavební rozpočet'!H155</f>
        <v>0</v>
      </c>
      <c r="E37" s="37">
        <f>'Stavební rozpočet'!I155</f>
        <v>0</v>
      </c>
      <c r="F37" s="37">
        <f t="shared" si="0"/>
        <v>0</v>
      </c>
      <c r="G37" s="37">
        <f>'Stavební rozpočet'!L155</f>
        <v>11.541470270000001</v>
      </c>
      <c r="H37" s="37" t="s">
        <v>433</v>
      </c>
      <c r="I37" s="37">
        <f t="shared" si="1"/>
        <v>0</v>
      </c>
    </row>
    <row r="38" spans="1:9" ht="12.75">
      <c r="A38" s="19" t="s">
        <v>9</v>
      </c>
      <c r="B38" s="19" t="s">
        <v>40</v>
      </c>
      <c r="C38" s="19" t="s">
        <v>203</v>
      </c>
      <c r="D38" s="37">
        <f>'Stavební rozpočet'!H156</f>
        <v>0</v>
      </c>
      <c r="E38" s="37">
        <f>'Stavební rozpočet'!I156</f>
        <v>0</v>
      </c>
      <c r="F38" s="37">
        <f t="shared" si="0"/>
        <v>0</v>
      </c>
      <c r="G38" s="37">
        <f>'Stavební rozpočet'!L156</f>
        <v>5.04528</v>
      </c>
      <c r="H38" s="37" t="s">
        <v>434</v>
      </c>
      <c r="I38" s="37">
        <f t="shared" si="1"/>
        <v>0</v>
      </c>
    </row>
    <row r="39" spans="1:9" ht="12.75">
      <c r="A39" s="19" t="s">
        <v>9</v>
      </c>
      <c r="B39" s="19" t="s">
        <v>67</v>
      </c>
      <c r="C39" s="19" t="s">
        <v>206</v>
      </c>
      <c r="D39" s="37">
        <f>'Stavební rozpočet'!H159</f>
        <v>0</v>
      </c>
      <c r="E39" s="37">
        <f>'Stavební rozpočet'!I159</f>
        <v>0</v>
      </c>
      <c r="F39" s="37">
        <f t="shared" si="0"/>
        <v>0</v>
      </c>
      <c r="G39" s="37">
        <f>'Stavební rozpočet'!L159</f>
        <v>1.0261599499999998</v>
      </c>
      <c r="H39" s="37" t="s">
        <v>434</v>
      </c>
      <c r="I39" s="37">
        <f t="shared" si="1"/>
        <v>0</v>
      </c>
    </row>
    <row r="40" spans="1:9" ht="12.75">
      <c r="A40" s="19" t="s">
        <v>9</v>
      </c>
      <c r="B40" s="19" t="s">
        <v>156</v>
      </c>
      <c r="C40" s="19" t="s">
        <v>211</v>
      </c>
      <c r="D40" s="37">
        <f>'Stavební rozpočet'!H164</f>
        <v>0</v>
      </c>
      <c r="E40" s="37">
        <f>'Stavební rozpočet'!I164</f>
        <v>0</v>
      </c>
      <c r="F40" s="37">
        <f t="shared" si="0"/>
        <v>0</v>
      </c>
      <c r="G40" s="37">
        <f>'Stavební rozpočet'!L164</f>
        <v>0</v>
      </c>
      <c r="H40" s="37" t="s">
        <v>434</v>
      </c>
      <c r="I40" s="37">
        <f t="shared" si="1"/>
        <v>0</v>
      </c>
    </row>
    <row r="41" spans="1:9" ht="12.75">
      <c r="A41" s="19" t="s">
        <v>9</v>
      </c>
      <c r="B41" s="19" t="s">
        <v>70</v>
      </c>
      <c r="C41" s="19" t="s">
        <v>214</v>
      </c>
      <c r="D41" s="37">
        <f>'Stavební rozpočet'!H167</f>
        <v>0</v>
      </c>
      <c r="E41" s="37">
        <f>'Stavební rozpočet'!I167</f>
        <v>0</v>
      </c>
      <c r="F41" s="37">
        <f t="shared" si="0"/>
        <v>0</v>
      </c>
      <c r="G41" s="37">
        <f>'Stavební rozpočet'!L167</f>
        <v>0.9517280000000001</v>
      </c>
      <c r="H41" s="37" t="s">
        <v>434</v>
      </c>
      <c r="I41" s="37">
        <f t="shared" si="1"/>
        <v>0</v>
      </c>
    </row>
    <row r="42" spans="1:9" ht="12.75">
      <c r="A42" s="19" t="s">
        <v>9</v>
      </c>
      <c r="B42" s="19" t="s">
        <v>162</v>
      </c>
      <c r="C42" s="19" t="s">
        <v>223</v>
      </c>
      <c r="D42" s="37">
        <f>'Stavební rozpočet'!H177</f>
        <v>0</v>
      </c>
      <c r="E42" s="37">
        <f>'Stavební rozpočet'!I177</f>
        <v>0</v>
      </c>
      <c r="F42" s="37">
        <f t="shared" si="0"/>
        <v>0</v>
      </c>
      <c r="G42" s="37">
        <f>'Stavební rozpočet'!L177</f>
        <v>0.12895199999999998</v>
      </c>
      <c r="H42" s="37" t="s">
        <v>434</v>
      </c>
      <c r="I42" s="37">
        <f t="shared" si="1"/>
        <v>0</v>
      </c>
    </row>
    <row r="43" spans="1:9" ht="12.75">
      <c r="A43" s="19" t="s">
        <v>9</v>
      </c>
      <c r="B43" s="19" t="s">
        <v>165</v>
      </c>
      <c r="C43" s="19" t="s">
        <v>227</v>
      </c>
      <c r="D43" s="37">
        <f>'Stavební rozpočet'!H182</f>
        <v>0</v>
      </c>
      <c r="E43" s="37">
        <f>'Stavební rozpočet'!I182</f>
        <v>0</v>
      </c>
      <c r="F43" s="37">
        <f aca="true" t="shared" si="2" ref="F43:F74">D43+E43</f>
        <v>0</v>
      </c>
      <c r="G43" s="37">
        <f>'Stavební rozpočet'!L182</f>
        <v>1.1735200000000001</v>
      </c>
      <c r="H43" s="37" t="s">
        <v>434</v>
      </c>
      <c r="I43" s="37">
        <f aca="true" t="shared" si="3" ref="I43:I74">IF(H43="F",0,F43)</f>
        <v>0</v>
      </c>
    </row>
    <row r="44" spans="1:9" ht="12.75">
      <c r="A44" s="19" t="s">
        <v>9</v>
      </c>
      <c r="B44" s="19" t="s">
        <v>170</v>
      </c>
      <c r="C44" s="19" t="s">
        <v>234</v>
      </c>
      <c r="D44" s="37">
        <f>'Stavební rozpočet'!H195</f>
        <v>0</v>
      </c>
      <c r="E44" s="37">
        <f>'Stavební rozpočet'!I195</f>
        <v>0</v>
      </c>
      <c r="F44" s="37">
        <f t="shared" si="2"/>
        <v>0</v>
      </c>
      <c r="G44" s="37">
        <f>'Stavební rozpočet'!L195</f>
        <v>0.011179999999999999</v>
      </c>
      <c r="H44" s="37" t="s">
        <v>434</v>
      </c>
      <c r="I44" s="37">
        <f t="shared" si="3"/>
        <v>0</v>
      </c>
    </row>
    <row r="45" spans="1:9" ht="12.75">
      <c r="A45" s="19" t="s">
        <v>9</v>
      </c>
      <c r="B45" s="19" t="s">
        <v>173</v>
      </c>
      <c r="C45" s="19" t="s">
        <v>237</v>
      </c>
      <c r="D45" s="37">
        <f>'Stavební rozpočet'!H200</f>
        <v>0</v>
      </c>
      <c r="E45" s="37">
        <f>'Stavební rozpočet'!I200</f>
        <v>0</v>
      </c>
      <c r="F45" s="37">
        <f t="shared" si="2"/>
        <v>0</v>
      </c>
      <c r="G45" s="37">
        <f>'Stavební rozpočet'!L200</f>
        <v>0.019371000000000003</v>
      </c>
      <c r="H45" s="37" t="s">
        <v>434</v>
      </c>
      <c r="I45" s="37">
        <f t="shared" si="3"/>
        <v>0</v>
      </c>
    </row>
    <row r="46" spans="1:9" ht="12.75">
      <c r="A46" s="19" t="s">
        <v>9</v>
      </c>
      <c r="B46" s="19" t="s">
        <v>176</v>
      </c>
      <c r="C46" s="19" t="s">
        <v>241</v>
      </c>
      <c r="D46" s="37">
        <f>'Stavební rozpočet'!H205</f>
        <v>0</v>
      </c>
      <c r="E46" s="37">
        <f>'Stavební rozpočet'!I205</f>
        <v>0</v>
      </c>
      <c r="F46" s="37">
        <f t="shared" si="2"/>
        <v>0</v>
      </c>
      <c r="G46" s="37">
        <f>'Stavební rozpočet'!L205</f>
        <v>0.017976</v>
      </c>
      <c r="H46" s="37" t="s">
        <v>434</v>
      </c>
      <c r="I46" s="37">
        <f t="shared" si="3"/>
        <v>0</v>
      </c>
    </row>
    <row r="47" spans="1:9" ht="12.75">
      <c r="A47" s="19" t="s">
        <v>9</v>
      </c>
      <c r="B47" s="19" t="s">
        <v>102</v>
      </c>
      <c r="C47" s="19" t="s">
        <v>245</v>
      </c>
      <c r="D47" s="37">
        <f>'Stavební rozpočet'!H210</f>
        <v>0</v>
      </c>
      <c r="E47" s="37">
        <f>'Stavební rozpočet'!I210</f>
        <v>0</v>
      </c>
      <c r="F47" s="37">
        <f t="shared" si="2"/>
        <v>0</v>
      </c>
      <c r="G47" s="37">
        <f>'Stavební rozpočet'!L210</f>
        <v>3.1673033200000003</v>
      </c>
      <c r="H47" s="37" t="s">
        <v>434</v>
      </c>
      <c r="I47" s="37">
        <f t="shared" si="3"/>
        <v>0</v>
      </c>
    </row>
    <row r="48" spans="1:9" ht="12.75">
      <c r="A48" s="19" t="s">
        <v>9</v>
      </c>
      <c r="B48" s="19" t="s">
        <v>185</v>
      </c>
      <c r="C48" s="19" t="s">
        <v>258</v>
      </c>
      <c r="D48" s="37">
        <f>'Stavební rozpočet'!H223</f>
        <v>0</v>
      </c>
      <c r="E48" s="37">
        <f>'Stavební rozpočet'!I223</f>
        <v>0</v>
      </c>
      <c r="F48" s="37">
        <f t="shared" si="2"/>
        <v>0</v>
      </c>
      <c r="G48" s="37">
        <f>'Stavební rozpočet'!L223</f>
        <v>0</v>
      </c>
      <c r="H48" s="37" t="s">
        <v>434</v>
      </c>
      <c r="I48" s="37">
        <f t="shared" si="3"/>
        <v>0</v>
      </c>
    </row>
    <row r="49" spans="1:9" ht="12.75">
      <c r="A49" s="19" t="s">
        <v>9</v>
      </c>
      <c r="B49" s="19" t="s">
        <v>188</v>
      </c>
      <c r="C49" s="19" t="s">
        <v>227</v>
      </c>
      <c r="D49" s="37">
        <f>'Stavební rozpočet'!H228</f>
        <v>0</v>
      </c>
      <c r="E49" s="37">
        <f>'Stavební rozpočet'!I228</f>
        <v>0</v>
      </c>
      <c r="F49" s="37">
        <f t="shared" si="2"/>
        <v>0</v>
      </c>
      <c r="G49" s="37">
        <f>'Stavební rozpočet'!L228</f>
        <v>0</v>
      </c>
      <c r="H49" s="37" t="s">
        <v>434</v>
      </c>
      <c r="I49" s="37">
        <f t="shared" si="3"/>
        <v>0</v>
      </c>
    </row>
    <row r="50" spans="1:9" ht="12.75">
      <c r="A50" s="19" t="s">
        <v>9</v>
      </c>
      <c r="B50" s="19" t="s">
        <v>190</v>
      </c>
      <c r="C50" s="19" t="s">
        <v>265</v>
      </c>
      <c r="D50" s="37">
        <f>'Stavební rozpočet'!H231</f>
        <v>0</v>
      </c>
      <c r="E50" s="37">
        <f>'Stavební rozpočet'!I231</f>
        <v>0</v>
      </c>
      <c r="F50" s="37">
        <f t="shared" si="2"/>
        <v>0</v>
      </c>
      <c r="G50" s="37">
        <f>'Stavební rozpočet'!L231</f>
        <v>0</v>
      </c>
      <c r="H50" s="37" t="s">
        <v>434</v>
      </c>
      <c r="I50" s="37">
        <f t="shared" si="3"/>
        <v>0</v>
      </c>
    </row>
    <row r="51" spans="1:9" ht="12.75">
      <c r="A51" s="19" t="s">
        <v>10</v>
      </c>
      <c r="B51" s="19"/>
      <c r="C51" s="19" t="s">
        <v>311</v>
      </c>
      <c r="D51" s="37">
        <f>'Stavební rozpočet'!H240</f>
        <v>0</v>
      </c>
      <c r="E51" s="37">
        <f>'Stavební rozpočet'!I240</f>
        <v>0</v>
      </c>
      <c r="F51" s="37">
        <f t="shared" si="2"/>
        <v>0</v>
      </c>
      <c r="G51" s="37">
        <f>'Stavební rozpočet'!L240</f>
        <v>11.75505386</v>
      </c>
      <c r="H51" s="37" t="s">
        <v>433</v>
      </c>
      <c r="I51" s="37">
        <f t="shared" si="3"/>
        <v>0</v>
      </c>
    </row>
    <row r="52" spans="1:9" ht="12.75">
      <c r="A52" s="19" t="s">
        <v>10</v>
      </c>
      <c r="B52" s="19" t="s">
        <v>40</v>
      </c>
      <c r="C52" s="19" t="s">
        <v>203</v>
      </c>
      <c r="D52" s="37">
        <f>'Stavební rozpočet'!H241</f>
        <v>0</v>
      </c>
      <c r="E52" s="37">
        <f>'Stavební rozpočet'!I241</f>
        <v>0</v>
      </c>
      <c r="F52" s="37">
        <f t="shared" si="2"/>
        <v>0</v>
      </c>
      <c r="G52" s="37">
        <f>'Stavební rozpočet'!L241</f>
        <v>5.67594</v>
      </c>
      <c r="H52" s="37" t="s">
        <v>434</v>
      </c>
      <c r="I52" s="37">
        <f t="shared" si="3"/>
        <v>0</v>
      </c>
    </row>
    <row r="53" spans="1:9" ht="12.75">
      <c r="A53" s="19" t="s">
        <v>10</v>
      </c>
      <c r="B53" s="19" t="s">
        <v>67</v>
      </c>
      <c r="C53" s="19" t="s">
        <v>206</v>
      </c>
      <c r="D53" s="37">
        <f>'Stavební rozpočet'!H244</f>
        <v>0</v>
      </c>
      <c r="E53" s="37">
        <f>'Stavební rozpočet'!I244</f>
        <v>0</v>
      </c>
      <c r="F53" s="37">
        <f t="shared" si="2"/>
        <v>0</v>
      </c>
      <c r="G53" s="37">
        <f>'Stavební rozpočet'!L244</f>
        <v>0.9691405999999998</v>
      </c>
      <c r="H53" s="37" t="s">
        <v>434</v>
      </c>
      <c r="I53" s="37">
        <f t="shared" si="3"/>
        <v>0</v>
      </c>
    </row>
    <row r="54" spans="1:9" ht="12.75">
      <c r="A54" s="19" t="s">
        <v>10</v>
      </c>
      <c r="B54" s="19" t="s">
        <v>156</v>
      </c>
      <c r="C54" s="19" t="s">
        <v>211</v>
      </c>
      <c r="D54" s="37">
        <f>'Stavební rozpočet'!H249</f>
        <v>0</v>
      </c>
      <c r="E54" s="37">
        <f>'Stavební rozpočet'!I249</f>
        <v>0</v>
      </c>
      <c r="F54" s="37">
        <f t="shared" si="2"/>
        <v>0</v>
      </c>
      <c r="G54" s="37">
        <f>'Stavební rozpočet'!L249</f>
        <v>0</v>
      </c>
      <c r="H54" s="37" t="s">
        <v>434</v>
      </c>
      <c r="I54" s="37">
        <f t="shared" si="3"/>
        <v>0</v>
      </c>
    </row>
    <row r="55" spans="1:9" ht="12.75">
      <c r="A55" s="19" t="s">
        <v>10</v>
      </c>
      <c r="B55" s="19" t="s">
        <v>70</v>
      </c>
      <c r="C55" s="19" t="s">
        <v>214</v>
      </c>
      <c r="D55" s="37">
        <f>'Stavební rozpočet'!H252</f>
        <v>0</v>
      </c>
      <c r="E55" s="37">
        <f>'Stavební rozpočet'!I252</f>
        <v>0</v>
      </c>
      <c r="F55" s="37">
        <f t="shared" si="2"/>
        <v>0</v>
      </c>
      <c r="G55" s="37">
        <f>'Stavební rozpočet'!L252</f>
        <v>0.850081</v>
      </c>
      <c r="H55" s="37" t="s">
        <v>434</v>
      </c>
      <c r="I55" s="37">
        <f t="shared" si="3"/>
        <v>0</v>
      </c>
    </row>
    <row r="56" spans="1:9" ht="12.75">
      <c r="A56" s="19" t="s">
        <v>10</v>
      </c>
      <c r="B56" s="19" t="s">
        <v>162</v>
      </c>
      <c r="C56" s="19" t="s">
        <v>223</v>
      </c>
      <c r="D56" s="37">
        <f>'Stavební rozpočet'!H259</f>
        <v>0</v>
      </c>
      <c r="E56" s="37">
        <f>'Stavební rozpočet'!I259</f>
        <v>0</v>
      </c>
      <c r="F56" s="37">
        <f t="shared" si="2"/>
        <v>0</v>
      </c>
      <c r="G56" s="37">
        <f>'Stavební rozpočet'!L259</f>
        <v>0.12477299999999997</v>
      </c>
      <c r="H56" s="37" t="s">
        <v>434</v>
      </c>
      <c r="I56" s="37">
        <f t="shared" si="3"/>
        <v>0</v>
      </c>
    </row>
    <row r="57" spans="1:9" ht="12.75">
      <c r="A57" s="19" t="s">
        <v>10</v>
      </c>
      <c r="B57" s="19" t="s">
        <v>165</v>
      </c>
      <c r="C57" s="19" t="s">
        <v>227</v>
      </c>
      <c r="D57" s="37">
        <f>'Stavební rozpočet'!H264</f>
        <v>0</v>
      </c>
      <c r="E57" s="37">
        <f>'Stavební rozpočet'!I264</f>
        <v>0</v>
      </c>
      <c r="F57" s="37">
        <f t="shared" si="2"/>
        <v>0</v>
      </c>
      <c r="G57" s="37">
        <f>'Stavební rozpočet'!L264</f>
        <v>0.87</v>
      </c>
      <c r="H57" s="37" t="s">
        <v>434</v>
      </c>
      <c r="I57" s="37">
        <f t="shared" si="3"/>
        <v>0</v>
      </c>
    </row>
    <row r="58" spans="1:9" ht="12.75">
      <c r="A58" s="19" t="s">
        <v>10</v>
      </c>
      <c r="B58" s="19" t="s">
        <v>173</v>
      </c>
      <c r="C58" s="19" t="s">
        <v>237</v>
      </c>
      <c r="D58" s="37">
        <f>'Stavební rozpočet'!H269</f>
        <v>0</v>
      </c>
      <c r="E58" s="37">
        <f>'Stavební rozpočet'!I269</f>
        <v>0</v>
      </c>
      <c r="F58" s="37">
        <f t="shared" si="2"/>
        <v>0</v>
      </c>
      <c r="G58" s="37">
        <f>'Stavební rozpočet'!L269</f>
        <v>0.018295199999999998</v>
      </c>
      <c r="H58" s="37" t="s">
        <v>434</v>
      </c>
      <c r="I58" s="37">
        <f t="shared" si="3"/>
        <v>0</v>
      </c>
    </row>
    <row r="59" spans="1:9" ht="12.75">
      <c r="A59" s="19" t="s">
        <v>10</v>
      </c>
      <c r="B59" s="19" t="s">
        <v>176</v>
      </c>
      <c r="C59" s="19" t="s">
        <v>241</v>
      </c>
      <c r="D59" s="37">
        <f>'Stavební rozpočet'!H274</f>
        <v>0</v>
      </c>
      <c r="E59" s="37">
        <f>'Stavební rozpočet'!I274</f>
        <v>0</v>
      </c>
      <c r="F59" s="37">
        <f t="shared" si="2"/>
        <v>0</v>
      </c>
      <c r="G59" s="37">
        <f>'Stavební rozpočet'!L274</f>
        <v>0.020222999999999998</v>
      </c>
      <c r="H59" s="37" t="s">
        <v>434</v>
      </c>
      <c r="I59" s="37">
        <f t="shared" si="3"/>
        <v>0</v>
      </c>
    </row>
    <row r="60" spans="1:9" ht="12.75">
      <c r="A60" s="19" t="s">
        <v>10</v>
      </c>
      <c r="B60" s="19" t="s">
        <v>102</v>
      </c>
      <c r="C60" s="19" t="s">
        <v>245</v>
      </c>
      <c r="D60" s="37">
        <f>'Stavební rozpočet'!H279</f>
        <v>0</v>
      </c>
      <c r="E60" s="37">
        <f>'Stavební rozpočet'!I279</f>
        <v>0</v>
      </c>
      <c r="F60" s="37">
        <f t="shared" si="2"/>
        <v>0</v>
      </c>
      <c r="G60" s="37">
        <f>'Stavební rozpočet'!L279</f>
        <v>3.22660106</v>
      </c>
      <c r="H60" s="37" t="s">
        <v>434</v>
      </c>
      <c r="I60" s="37">
        <f t="shared" si="3"/>
        <v>0</v>
      </c>
    </row>
    <row r="61" spans="1:9" ht="12.75">
      <c r="A61" s="19" t="s">
        <v>10</v>
      </c>
      <c r="B61" s="19" t="s">
        <v>185</v>
      </c>
      <c r="C61" s="19" t="s">
        <v>258</v>
      </c>
      <c r="D61" s="37">
        <f>'Stavební rozpočet'!H292</f>
        <v>0</v>
      </c>
      <c r="E61" s="37">
        <f>'Stavební rozpočet'!I292</f>
        <v>0</v>
      </c>
      <c r="F61" s="37">
        <f t="shared" si="2"/>
        <v>0</v>
      </c>
      <c r="G61" s="37">
        <f>'Stavební rozpočet'!L292</f>
        <v>0</v>
      </c>
      <c r="H61" s="37" t="s">
        <v>434</v>
      </c>
      <c r="I61" s="37">
        <f t="shared" si="3"/>
        <v>0</v>
      </c>
    </row>
    <row r="62" spans="1:9" ht="12.75">
      <c r="A62" s="19" t="s">
        <v>10</v>
      </c>
      <c r="B62" s="19" t="s">
        <v>188</v>
      </c>
      <c r="C62" s="19" t="s">
        <v>227</v>
      </c>
      <c r="D62" s="37">
        <f>'Stavební rozpočet'!H297</f>
        <v>0</v>
      </c>
      <c r="E62" s="37">
        <f>'Stavební rozpočet'!I297</f>
        <v>0</v>
      </c>
      <c r="F62" s="37">
        <f t="shared" si="2"/>
        <v>0</v>
      </c>
      <c r="G62" s="37">
        <f>'Stavební rozpočet'!L297</f>
        <v>0</v>
      </c>
      <c r="H62" s="37" t="s">
        <v>434</v>
      </c>
      <c r="I62" s="37">
        <f t="shared" si="3"/>
        <v>0</v>
      </c>
    </row>
    <row r="63" spans="1:9" ht="12.75">
      <c r="A63" s="19" t="s">
        <v>10</v>
      </c>
      <c r="B63" s="19" t="s">
        <v>190</v>
      </c>
      <c r="C63" s="19" t="s">
        <v>265</v>
      </c>
      <c r="D63" s="37">
        <f>'Stavební rozpočet'!H300</f>
        <v>0</v>
      </c>
      <c r="E63" s="37">
        <f>'Stavební rozpočet'!I300</f>
        <v>0</v>
      </c>
      <c r="F63" s="37">
        <f t="shared" si="2"/>
        <v>0</v>
      </c>
      <c r="G63" s="37">
        <f>'Stavební rozpočet'!L300</f>
        <v>0</v>
      </c>
      <c r="H63" s="37" t="s">
        <v>434</v>
      </c>
      <c r="I63" s="37">
        <f t="shared" si="3"/>
        <v>0</v>
      </c>
    </row>
    <row r="64" spans="1:9" ht="12.75">
      <c r="A64" s="19" t="s">
        <v>11</v>
      </c>
      <c r="B64" s="19"/>
      <c r="C64" s="19" t="s">
        <v>332</v>
      </c>
      <c r="D64" s="37">
        <f>'Stavební rozpočet'!H309</f>
        <v>0</v>
      </c>
      <c r="E64" s="37">
        <f>'Stavební rozpočet'!I309</f>
        <v>0</v>
      </c>
      <c r="F64" s="37">
        <f t="shared" si="2"/>
        <v>0</v>
      </c>
      <c r="G64" s="37">
        <f>'Stavební rozpočet'!L309</f>
        <v>0.52119084</v>
      </c>
      <c r="H64" s="37" t="s">
        <v>433</v>
      </c>
      <c r="I64" s="37">
        <f t="shared" si="3"/>
        <v>0</v>
      </c>
    </row>
    <row r="65" spans="1:9" ht="12.75">
      <c r="A65" s="19" t="s">
        <v>11</v>
      </c>
      <c r="B65" s="19" t="s">
        <v>67</v>
      </c>
      <c r="C65" s="19" t="s">
        <v>206</v>
      </c>
      <c r="D65" s="37">
        <f>'Stavební rozpočet'!H310</f>
        <v>0</v>
      </c>
      <c r="E65" s="37">
        <f>'Stavební rozpočet'!I310</f>
        <v>0</v>
      </c>
      <c r="F65" s="37">
        <f t="shared" si="2"/>
        <v>0</v>
      </c>
      <c r="G65" s="37">
        <f>'Stavební rozpočet'!L310</f>
        <v>0.09122549999999999</v>
      </c>
      <c r="H65" s="37" t="s">
        <v>434</v>
      </c>
      <c r="I65" s="37">
        <f t="shared" si="3"/>
        <v>0</v>
      </c>
    </row>
    <row r="66" spans="1:9" ht="12.75">
      <c r="A66" s="19" t="s">
        <v>11</v>
      </c>
      <c r="B66" s="19" t="s">
        <v>156</v>
      </c>
      <c r="C66" s="19" t="s">
        <v>211</v>
      </c>
      <c r="D66" s="37">
        <f>'Stavební rozpočet'!H315</f>
        <v>0</v>
      </c>
      <c r="E66" s="37">
        <f>'Stavební rozpočet'!I315</f>
        <v>0</v>
      </c>
      <c r="F66" s="37">
        <f t="shared" si="2"/>
        <v>0</v>
      </c>
      <c r="G66" s="37">
        <f>'Stavební rozpočet'!L315</f>
        <v>0</v>
      </c>
      <c r="H66" s="37" t="s">
        <v>434</v>
      </c>
      <c r="I66" s="37">
        <f t="shared" si="3"/>
        <v>0</v>
      </c>
    </row>
    <row r="67" spans="1:9" ht="12.75">
      <c r="A67" s="19" t="s">
        <v>11</v>
      </c>
      <c r="B67" s="19" t="s">
        <v>70</v>
      </c>
      <c r="C67" s="19" t="s">
        <v>214</v>
      </c>
      <c r="D67" s="37">
        <f>'Stavební rozpočet'!H318</f>
        <v>0</v>
      </c>
      <c r="E67" s="37">
        <f>'Stavební rozpočet'!I318</f>
        <v>0</v>
      </c>
      <c r="F67" s="37">
        <f t="shared" si="2"/>
        <v>0</v>
      </c>
      <c r="G67" s="37">
        <f>'Stavební rozpočet'!L318</f>
        <v>0.080809</v>
      </c>
      <c r="H67" s="37" t="s">
        <v>434</v>
      </c>
      <c r="I67" s="37">
        <f t="shared" si="3"/>
        <v>0</v>
      </c>
    </row>
    <row r="68" spans="1:9" ht="12.75">
      <c r="A68" s="19" t="s">
        <v>11</v>
      </c>
      <c r="B68" s="19" t="s">
        <v>162</v>
      </c>
      <c r="C68" s="19" t="s">
        <v>223</v>
      </c>
      <c r="D68" s="37">
        <f>'Stavební rozpočet'!H325</f>
        <v>0</v>
      </c>
      <c r="E68" s="37">
        <f>'Stavební rozpočet'!I325</f>
        <v>0</v>
      </c>
      <c r="F68" s="37">
        <f t="shared" si="2"/>
        <v>0</v>
      </c>
      <c r="G68" s="37">
        <f>'Stavební rozpočet'!L325</f>
        <v>0.010746</v>
      </c>
      <c r="H68" s="37" t="s">
        <v>434</v>
      </c>
      <c r="I68" s="37">
        <f t="shared" si="3"/>
        <v>0</v>
      </c>
    </row>
    <row r="69" spans="1:9" ht="12.75">
      <c r="A69" s="19" t="s">
        <v>11</v>
      </c>
      <c r="B69" s="19" t="s">
        <v>165</v>
      </c>
      <c r="C69" s="19" t="s">
        <v>227</v>
      </c>
      <c r="D69" s="37">
        <f>'Stavební rozpočet'!H330</f>
        <v>0</v>
      </c>
      <c r="E69" s="37">
        <f>'Stavební rozpočet'!I330</f>
        <v>0</v>
      </c>
      <c r="F69" s="37">
        <f t="shared" si="2"/>
        <v>0</v>
      </c>
      <c r="G69" s="37">
        <f>'Stavební rozpočet'!L330</f>
        <v>0.08</v>
      </c>
      <c r="H69" s="37" t="s">
        <v>434</v>
      </c>
      <c r="I69" s="37">
        <f t="shared" si="3"/>
        <v>0</v>
      </c>
    </row>
    <row r="70" spans="1:9" ht="12.75">
      <c r="A70" s="19" t="s">
        <v>11</v>
      </c>
      <c r="B70" s="19" t="s">
        <v>173</v>
      </c>
      <c r="C70" s="19" t="s">
        <v>237</v>
      </c>
      <c r="D70" s="37">
        <f>'Stavební rozpočet'!H333</f>
        <v>0</v>
      </c>
      <c r="E70" s="37">
        <f>'Stavební rozpočet'!I333</f>
        <v>0</v>
      </c>
      <c r="F70" s="37">
        <f t="shared" si="2"/>
        <v>0</v>
      </c>
      <c r="G70" s="37">
        <f>'Stavební rozpočet'!L333</f>
        <v>0.0017226</v>
      </c>
      <c r="H70" s="37" t="s">
        <v>434</v>
      </c>
      <c r="I70" s="37">
        <f t="shared" si="3"/>
        <v>0</v>
      </c>
    </row>
    <row r="71" spans="1:9" ht="12.75">
      <c r="A71" s="19" t="s">
        <v>11</v>
      </c>
      <c r="B71" s="19" t="s">
        <v>102</v>
      </c>
      <c r="C71" s="19" t="s">
        <v>245</v>
      </c>
      <c r="D71" s="37">
        <f>'Stavební rozpočet'!H338</f>
        <v>0</v>
      </c>
      <c r="E71" s="37">
        <f>'Stavební rozpočet'!I338</f>
        <v>0</v>
      </c>
      <c r="F71" s="37">
        <f t="shared" si="2"/>
        <v>0</v>
      </c>
      <c r="G71" s="37">
        <f>'Stavební rozpočet'!L338</f>
        <v>0.25668774</v>
      </c>
      <c r="H71" s="37" t="s">
        <v>434</v>
      </c>
      <c r="I71" s="37">
        <f t="shared" si="3"/>
        <v>0</v>
      </c>
    </row>
    <row r="72" spans="1:9" ht="12.75">
      <c r="A72" s="19" t="s">
        <v>11</v>
      </c>
      <c r="B72" s="19" t="s">
        <v>185</v>
      </c>
      <c r="C72" s="19" t="s">
        <v>258</v>
      </c>
      <c r="D72" s="37">
        <f>'Stavební rozpočet'!H347</f>
        <v>0</v>
      </c>
      <c r="E72" s="37">
        <f>'Stavební rozpočet'!I347</f>
        <v>0</v>
      </c>
      <c r="F72" s="37">
        <f t="shared" si="2"/>
        <v>0</v>
      </c>
      <c r="G72" s="37">
        <f>'Stavební rozpočet'!L347</f>
        <v>0</v>
      </c>
      <c r="H72" s="37" t="s">
        <v>434</v>
      </c>
      <c r="I72" s="37">
        <f t="shared" si="3"/>
        <v>0</v>
      </c>
    </row>
    <row r="73" spans="1:9" ht="12.75">
      <c r="A73" s="19" t="s">
        <v>11</v>
      </c>
      <c r="B73" s="19" t="s">
        <v>188</v>
      </c>
      <c r="C73" s="19" t="s">
        <v>227</v>
      </c>
      <c r="D73" s="37">
        <f>'Stavební rozpočet'!H352</f>
        <v>0</v>
      </c>
      <c r="E73" s="37">
        <f>'Stavební rozpočet'!I352</f>
        <v>0</v>
      </c>
      <c r="F73" s="37">
        <f t="shared" si="2"/>
        <v>0</v>
      </c>
      <c r="G73" s="37">
        <f>'Stavební rozpočet'!L352</f>
        <v>0</v>
      </c>
      <c r="H73" s="37" t="s">
        <v>434</v>
      </c>
      <c r="I73" s="37">
        <f t="shared" si="3"/>
        <v>0</v>
      </c>
    </row>
    <row r="74" spans="1:9" ht="12.75">
      <c r="A74" s="19" t="s">
        <v>11</v>
      </c>
      <c r="B74" s="19" t="s">
        <v>190</v>
      </c>
      <c r="C74" s="19" t="s">
        <v>265</v>
      </c>
      <c r="D74" s="37">
        <f>'Stavební rozpočet'!H355</f>
        <v>0</v>
      </c>
      <c r="E74" s="37">
        <f>'Stavební rozpočet'!I355</f>
        <v>0</v>
      </c>
      <c r="F74" s="37">
        <f t="shared" si="2"/>
        <v>0</v>
      </c>
      <c r="G74" s="37">
        <f>'Stavební rozpočet'!L355</f>
        <v>0</v>
      </c>
      <c r="H74" s="37" t="s">
        <v>434</v>
      </c>
      <c r="I74" s="37">
        <f t="shared" si="3"/>
        <v>0</v>
      </c>
    </row>
    <row r="76" spans="5:6" ht="12.75">
      <c r="E76" s="48" t="s">
        <v>363</v>
      </c>
      <c r="F76" s="51">
        <f>ROUND(SUM(I11:I74),0)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1.71093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90" t="s">
        <v>435</v>
      </c>
      <c r="B1" s="91"/>
      <c r="C1" s="91"/>
      <c r="D1" s="91"/>
      <c r="E1" s="91"/>
      <c r="F1" s="91"/>
      <c r="G1" s="91"/>
      <c r="H1" s="91"/>
    </row>
    <row r="2" spans="1:9" ht="12.75">
      <c r="A2" s="92" t="s">
        <v>1</v>
      </c>
      <c r="B2" s="93"/>
      <c r="C2" s="96" t="str">
        <f>'Stavební rozpočet'!D2</f>
        <v>Výměna oken na historické budově </v>
      </c>
      <c r="D2" s="109"/>
      <c r="E2" s="99" t="s">
        <v>364</v>
      </c>
      <c r="F2" s="99" t="str">
        <f>'Stavební rozpočet'!J2</f>
        <v>Střední vinařská škola Valtice</v>
      </c>
      <c r="G2" s="93"/>
      <c r="H2" s="100"/>
      <c r="I2" s="35"/>
    </row>
    <row r="3" spans="1:9" ht="12.75">
      <c r="A3" s="94"/>
      <c r="B3" s="95"/>
      <c r="C3" s="97"/>
      <c r="D3" s="97"/>
      <c r="E3" s="95"/>
      <c r="F3" s="95"/>
      <c r="G3" s="95"/>
      <c r="H3" s="101"/>
      <c r="I3" s="35"/>
    </row>
    <row r="4" spans="1:9" ht="12.75">
      <c r="A4" s="102" t="s">
        <v>2</v>
      </c>
      <c r="B4" s="95"/>
      <c r="C4" s="103" t="str">
        <f>'Stavební rozpočet'!D4</f>
        <v>školství</v>
      </c>
      <c r="D4" s="95"/>
      <c r="E4" s="103" t="s">
        <v>365</v>
      </c>
      <c r="F4" s="103" t="str">
        <f>'Stavební rozpočet'!J4</f>
        <v>Ing.Zbyněk Rabušic</v>
      </c>
      <c r="G4" s="95"/>
      <c r="H4" s="101"/>
      <c r="I4" s="35"/>
    </row>
    <row r="5" spans="1:9" ht="12.75">
      <c r="A5" s="94"/>
      <c r="B5" s="95"/>
      <c r="C5" s="95"/>
      <c r="D5" s="95"/>
      <c r="E5" s="95"/>
      <c r="F5" s="95"/>
      <c r="G5" s="95"/>
      <c r="H5" s="101"/>
      <c r="I5" s="35"/>
    </row>
    <row r="6" spans="1:9" ht="12.75">
      <c r="A6" s="102" t="s">
        <v>3</v>
      </c>
      <c r="B6" s="95"/>
      <c r="C6" s="103" t="str">
        <f>'Stavební rozpočet'!D6</f>
        <v>Sobotní 116, Valtice </v>
      </c>
      <c r="D6" s="95"/>
      <c r="E6" s="103" t="s">
        <v>366</v>
      </c>
      <c r="F6" s="103" t="str">
        <f>'Stavební rozpočet'!J6</f>
        <v>dle výběrového řízení</v>
      </c>
      <c r="G6" s="95"/>
      <c r="H6" s="101"/>
      <c r="I6" s="35"/>
    </row>
    <row r="7" spans="1:9" ht="12.75">
      <c r="A7" s="94"/>
      <c r="B7" s="95"/>
      <c r="C7" s="95"/>
      <c r="D7" s="95"/>
      <c r="E7" s="95"/>
      <c r="F7" s="95"/>
      <c r="G7" s="95"/>
      <c r="H7" s="101"/>
      <c r="I7" s="35"/>
    </row>
    <row r="8" spans="1:9" ht="12.75">
      <c r="A8" s="102" t="s">
        <v>367</v>
      </c>
      <c r="B8" s="95"/>
      <c r="C8" s="103" t="str">
        <f>'Stavební rozpočet'!J8</f>
        <v>Ing.Zbyněk Rabušic</v>
      </c>
      <c r="D8" s="95"/>
      <c r="E8" s="103" t="s">
        <v>348</v>
      </c>
      <c r="F8" s="103" t="str">
        <f>'Stavební rozpočet'!G8</f>
        <v>04.09.2018</v>
      </c>
      <c r="G8" s="95"/>
      <c r="H8" s="101"/>
      <c r="I8" s="35"/>
    </row>
    <row r="9" spans="1:9" ht="12.75">
      <c r="A9" s="110"/>
      <c r="B9" s="111"/>
      <c r="C9" s="111"/>
      <c r="D9" s="111"/>
      <c r="E9" s="111"/>
      <c r="F9" s="111"/>
      <c r="G9" s="111"/>
      <c r="H9" s="112"/>
      <c r="I9" s="35"/>
    </row>
    <row r="10" spans="1:9" ht="12.75">
      <c r="A10" s="45" t="s">
        <v>5</v>
      </c>
      <c r="B10" s="46" t="s">
        <v>151</v>
      </c>
      <c r="C10" s="46" t="s">
        <v>152</v>
      </c>
      <c r="D10" s="46" t="s">
        <v>200</v>
      </c>
      <c r="E10" s="46" t="s">
        <v>349</v>
      </c>
      <c r="F10" s="46" t="s">
        <v>201</v>
      </c>
      <c r="G10" s="53" t="s">
        <v>357</v>
      </c>
      <c r="H10" s="43" t="s">
        <v>436</v>
      </c>
      <c r="I10" s="36"/>
    </row>
    <row r="11" spans="1:8" ht="12.75">
      <c r="A11" s="52" t="s">
        <v>7</v>
      </c>
      <c r="B11" s="52" t="s">
        <v>7</v>
      </c>
      <c r="C11" s="52" t="s">
        <v>153</v>
      </c>
      <c r="D11" s="52" t="s">
        <v>204</v>
      </c>
      <c r="E11" s="52" t="s">
        <v>350</v>
      </c>
      <c r="F11" s="52" t="s">
        <v>205</v>
      </c>
      <c r="G11" s="85">
        <v>172.5</v>
      </c>
      <c r="H11" s="54" t="s">
        <v>376</v>
      </c>
    </row>
    <row r="12" spans="1:8" ht="12.75">
      <c r="A12" s="5" t="s">
        <v>8</v>
      </c>
      <c r="B12" s="5" t="s">
        <v>7</v>
      </c>
      <c r="C12" s="5" t="s">
        <v>154</v>
      </c>
      <c r="D12" s="5" t="s">
        <v>207</v>
      </c>
      <c r="E12" s="5" t="s">
        <v>351</v>
      </c>
      <c r="F12" s="5" t="s">
        <v>208</v>
      </c>
      <c r="G12" s="86">
        <v>69.63</v>
      </c>
      <c r="H12" s="33" t="s">
        <v>376</v>
      </c>
    </row>
    <row r="13" spans="1:8" ht="12.75">
      <c r="A13" s="5" t="s">
        <v>9</v>
      </c>
      <c r="B13" s="5" t="s">
        <v>7</v>
      </c>
      <c r="C13" s="5" t="s">
        <v>155</v>
      </c>
      <c r="D13" s="5" t="s">
        <v>209</v>
      </c>
      <c r="E13" s="5" t="s">
        <v>351</v>
      </c>
      <c r="F13" s="5" t="s">
        <v>210</v>
      </c>
      <c r="G13" s="86">
        <v>84.165</v>
      </c>
      <c r="H13" s="33" t="s">
        <v>376</v>
      </c>
    </row>
    <row r="14" spans="1:8" ht="12.75">
      <c r="A14" s="5" t="s">
        <v>10</v>
      </c>
      <c r="B14" s="5" t="s">
        <v>7</v>
      </c>
      <c r="C14" s="5" t="s">
        <v>157</v>
      </c>
      <c r="D14" s="5" t="s">
        <v>212</v>
      </c>
      <c r="E14" s="5" t="s">
        <v>352</v>
      </c>
      <c r="F14" s="5" t="s">
        <v>213</v>
      </c>
      <c r="G14" s="86">
        <v>56</v>
      </c>
      <c r="H14" s="33"/>
    </row>
    <row r="15" spans="1:8" ht="12.75">
      <c r="A15" s="5" t="s">
        <v>11</v>
      </c>
      <c r="B15" s="5" t="s">
        <v>7</v>
      </c>
      <c r="C15" s="5" t="s">
        <v>158</v>
      </c>
      <c r="D15" s="5" t="s">
        <v>215</v>
      </c>
      <c r="E15" s="5" t="s">
        <v>353</v>
      </c>
      <c r="F15" s="5" t="s">
        <v>216</v>
      </c>
      <c r="G15" s="86">
        <v>26</v>
      </c>
      <c r="H15" s="33" t="s">
        <v>376</v>
      </c>
    </row>
    <row r="16" spans="1:8" ht="12.75">
      <c r="A16" s="5" t="s">
        <v>12</v>
      </c>
      <c r="B16" s="5" t="s">
        <v>7</v>
      </c>
      <c r="C16" s="5" t="s">
        <v>159</v>
      </c>
      <c r="D16" s="5" t="s">
        <v>217</v>
      </c>
      <c r="E16" s="5" t="s">
        <v>350</v>
      </c>
      <c r="G16" s="86">
        <v>189.45</v>
      </c>
      <c r="H16" s="33" t="s">
        <v>376</v>
      </c>
    </row>
    <row r="17" spans="6:7" ht="12.75">
      <c r="F17" s="5" t="s">
        <v>218</v>
      </c>
      <c r="G17" s="21">
        <v>181.9</v>
      </c>
    </row>
    <row r="18" spans="1:7" ht="12.75">
      <c r="A18" s="5"/>
      <c r="B18" s="5"/>
      <c r="C18" s="5"/>
      <c r="D18" s="5"/>
      <c r="E18" s="5"/>
      <c r="F18" s="5" t="s">
        <v>219</v>
      </c>
      <c r="G18" s="86">
        <v>7.55</v>
      </c>
    </row>
    <row r="19" spans="1:8" ht="12.75">
      <c r="A19" s="5" t="s">
        <v>13</v>
      </c>
      <c r="B19" s="5" t="s">
        <v>7</v>
      </c>
      <c r="C19" s="5" t="s">
        <v>160</v>
      </c>
      <c r="D19" s="5" t="s">
        <v>220</v>
      </c>
      <c r="E19" s="5" t="s">
        <v>353</v>
      </c>
      <c r="F19" s="5" t="s">
        <v>7</v>
      </c>
      <c r="G19" s="86">
        <v>1</v>
      </c>
      <c r="H19" s="33" t="s">
        <v>376</v>
      </c>
    </row>
    <row r="20" spans="1:8" ht="12.75">
      <c r="A20" s="5" t="s">
        <v>14</v>
      </c>
      <c r="B20" s="5" t="s">
        <v>7</v>
      </c>
      <c r="C20" s="5" t="s">
        <v>161</v>
      </c>
      <c r="D20" s="5" t="s">
        <v>221</v>
      </c>
      <c r="E20" s="5" t="s">
        <v>350</v>
      </c>
      <c r="F20" s="5" t="s">
        <v>222</v>
      </c>
      <c r="G20" s="86">
        <v>32.5</v>
      </c>
      <c r="H20" s="33" t="s">
        <v>376</v>
      </c>
    </row>
    <row r="21" spans="1:8" ht="12.75">
      <c r="A21" s="5" t="s">
        <v>15</v>
      </c>
      <c r="B21" s="5" t="s">
        <v>7</v>
      </c>
      <c r="C21" s="5" t="s">
        <v>163</v>
      </c>
      <c r="D21" s="5" t="s">
        <v>224</v>
      </c>
      <c r="E21" s="5" t="s">
        <v>350</v>
      </c>
      <c r="F21" s="5" t="s">
        <v>225</v>
      </c>
      <c r="G21" s="86">
        <v>47.35</v>
      </c>
      <c r="H21" s="33" t="s">
        <v>376</v>
      </c>
    </row>
    <row r="22" spans="1:8" ht="12.75">
      <c r="A22" s="5" t="s">
        <v>16</v>
      </c>
      <c r="B22" s="5" t="s">
        <v>7</v>
      </c>
      <c r="C22" s="5" t="s">
        <v>164</v>
      </c>
      <c r="D22" s="5" t="s">
        <v>226</v>
      </c>
      <c r="E22" s="5" t="s">
        <v>350</v>
      </c>
      <c r="F22" s="5" t="s">
        <v>225</v>
      </c>
      <c r="G22" s="86">
        <v>47.35</v>
      </c>
      <c r="H22" s="33" t="s">
        <v>376</v>
      </c>
    </row>
    <row r="23" spans="1:8" ht="12.75">
      <c r="A23" s="5" t="s">
        <v>17</v>
      </c>
      <c r="B23" s="5" t="s">
        <v>7</v>
      </c>
      <c r="C23" s="5" t="s">
        <v>166</v>
      </c>
      <c r="D23" s="5" t="s">
        <v>228</v>
      </c>
      <c r="E23" s="5" t="s">
        <v>354</v>
      </c>
      <c r="F23" s="5" t="s">
        <v>7</v>
      </c>
      <c r="G23" s="86">
        <v>1</v>
      </c>
      <c r="H23" s="33"/>
    </row>
    <row r="24" spans="1:8" ht="12.75">
      <c r="A24" s="5" t="s">
        <v>18</v>
      </c>
      <c r="B24" s="5" t="s">
        <v>7</v>
      </c>
      <c r="C24" s="5" t="s">
        <v>166</v>
      </c>
      <c r="D24" s="5" t="s">
        <v>229</v>
      </c>
      <c r="E24" s="5" t="s">
        <v>354</v>
      </c>
      <c r="F24" s="5" t="s">
        <v>7</v>
      </c>
      <c r="G24" s="86">
        <v>1</v>
      </c>
      <c r="H24" s="33"/>
    </row>
    <row r="25" spans="1:8" ht="12.75">
      <c r="A25" s="5" t="s">
        <v>19</v>
      </c>
      <c r="B25" s="5" t="s">
        <v>7</v>
      </c>
      <c r="C25" s="5" t="s">
        <v>167</v>
      </c>
      <c r="D25" s="5" t="s">
        <v>230</v>
      </c>
      <c r="E25" s="5" t="s">
        <v>355</v>
      </c>
      <c r="F25" s="5" t="s">
        <v>31</v>
      </c>
      <c r="G25" s="86">
        <v>25</v>
      </c>
      <c r="H25" s="33"/>
    </row>
    <row r="26" spans="1:8" ht="12.75">
      <c r="A26" s="5" t="s">
        <v>20</v>
      </c>
      <c r="B26" s="5" t="s">
        <v>7</v>
      </c>
      <c r="C26" s="5" t="s">
        <v>167</v>
      </c>
      <c r="D26" s="5" t="s">
        <v>231</v>
      </c>
      <c r="E26" s="5" t="s">
        <v>355</v>
      </c>
      <c r="F26" s="5" t="s">
        <v>7</v>
      </c>
      <c r="G26" s="86">
        <v>1</v>
      </c>
      <c r="H26" s="33"/>
    </row>
    <row r="27" spans="1:8" ht="12.75">
      <c r="A27" s="5" t="s">
        <v>21</v>
      </c>
      <c r="B27" s="5" t="s">
        <v>7</v>
      </c>
      <c r="C27" s="5" t="s">
        <v>168</v>
      </c>
      <c r="D27" s="5" t="s">
        <v>232</v>
      </c>
      <c r="E27" s="5" t="s">
        <v>353</v>
      </c>
      <c r="F27" s="5" t="s">
        <v>8</v>
      </c>
      <c r="G27" s="86">
        <v>2</v>
      </c>
      <c r="H27" s="33" t="s">
        <v>376</v>
      </c>
    </row>
    <row r="28" spans="1:8" ht="12.75">
      <c r="A28" s="5" t="s">
        <v>22</v>
      </c>
      <c r="B28" s="5" t="s">
        <v>7</v>
      </c>
      <c r="C28" s="5" t="s">
        <v>169</v>
      </c>
      <c r="D28" s="5" t="s">
        <v>233</v>
      </c>
      <c r="E28" s="5" t="s">
        <v>353</v>
      </c>
      <c r="F28" s="5" t="s">
        <v>8</v>
      </c>
      <c r="G28" s="86">
        <v>2</v>
      </c>
      <c r="H28" s="33" t="s">
        <v>376</v>
      </c>
    </row>
    <row r="29" spans="1:8" ht="12.75">
      <c r="A29" s="5" t="s">
        <v>23</v>
      </c>
      <c r="B29" s="5" t="s">
        <v>7</v>
      </c>
      <c r="C29" s="5" t="s">
        <v>171</v>
      </c>
      <c r="D29" s="5" t="s">
        <v>235</v>
      </c>
      <c r="E29" s="5" t="s">
        <v>353</v>
      </c>
      <c r="F29" s="5" t="s">
        <v>8</v>
      </c>
      <c r="G29" s="86">
        <v>2</v>
      </c>
      <c r="H29" s="33" t="s">
        <v>376</v>
      </c>
    </row>
    <row r="30" spans="1:8" ht="12.75">
      <c r="A30" s="6" t="s">
        <v>24</v>
      </c>
      <c r="B30" s="6" t="s">
        <v>7</v>
      </c>
      <c r="C30" s="6" t="s">
        <v>172</v>
      </c>
      <c r="D30" s="6" t="s">
        <v>236</v>
      </c>
      <c r="E30" s="6" t="s">
        <v>353</v>
      </c>
      <c r="F30" s="6" t="s">
        <v>8</v>
      </c>
      <c r="G30" s="87">
        <v>2</v>
      </c>
      <c r="H30" s="34" t="s">
        <v>376</v>
      </c>
    </row>
    <row r="31" spans="1:8" ht="12.75">
      <c r="A31" s="5" t="s">
        <v>25</v>
      </c>
      <c r="B31" s="5" t="s">
        <v>7</v>
      </c>
      <c r="C31" s="5" t="s">
        <v>174</v>
      </c>
      <c r="D31" s="5" t="s">
        <v>238</v>
      </c>
      <c r="E31" s="5" t="s">
        <v>351</v>
      </c>
      <c r="F31" s="5" t="s">
        <v>239</v>
      </c>
      <c r="G31" s="86">
        <v>69.63</v>
      </c>
      <c r="H31" s="33" t="s">
        <v>376</v>
      </c>
    </row>
    <row r="32" spans="1:8" ht="12.75">
      <c r="A32" s="5" t="s">
        <v>26</v>
      </c>
      <c r="B32" s="5" t="s">
        <v>7</v>
      </c>
      <c r="C32" s="5" t="s">
        <v>175</v>
      </c>
      <c r="D32" s="5" t="s">
        <v>240</v>
      </c>
      <c r="E32" s="5" t="s">
        <v>351</v>
      </c>
      <c r="F32" s="5" t="s">
        <v>239</v>
      </c>
      <c r="G32" s="86">
        <v>69.63</v>
      </c>
      <c r="H32" s="33" t="s">
        <v>376</v>
      </c>
    </row>
    <row r="33" spans="1:8" ht="12.75">
      <c r="A33" s="5" t="s">
        <v>27</v>
      </c>
      <c r="B33" s="5" t="s">
        <v>7</v>
      </c>
      <c r="C33" s="5" t="s">
        <v>177</v>
      </c>
      <c r="D33" s="5" t="s">
        <v>242</v>
      </c>
      <c r="E33" s="5" t="s">
        <v>351</v>
      </c>
      <c r="F33" s="5" t="s">
        <v>243</v>
      </c>
      <c r="G33" s="86">
        <v>74.75</v>
      </c>
      <c r="H33" s="33" t="s">
        <v>376</v>
      </c>
    </row>
    <row r="34" spans="1:8" ht="12.75">
      <c r="A34" s="6" t="s">
        <v>28</v>
      </c>
      <c r="B34" s="6" t="s">
        <v>7</v>
      </c>
      <c r="C34" s="6" t="s">
        <v>178</v>
      </c>
      <c r="D34" s="6" t="s">
        <v>244</v>
      </c>
      <c r="E34" s="6" t="s">
        <v>353</v>
      </c>
      <c r="F34" s="6" t="s">
        <v>31</v>
      </c>
      <c r="G34" s="87">
        <v>25</v>
      </c>
      <c r="H34" s="34" t="s">
        <v>376</v>
      </c>
    </row>
    <row r="35" spans="1:8" ht="12.75">
      <c r="A35" s="5" t="s">
        <v>29</v>
      </c>
      <c r="B35" s="5" t="s">
        <v>7</v>
      </c>
      <c r="C35" s="5" t="s">
        <v>179</v>
      </c>
      <c r="D35" s="5" t="s">
        <v>246</v>
      </c>
      <c r="E35" s="5" t="s">
        <v>353</v>
      </c>
      <c r="F35" s="5" t="s">
        <v>247</v>
      </c>
      <c r="G35" s="86">
        <v>156</v>
      </c>
      <c r="H35" s="33" t="s">
        <v>376</v>
      </c>
    </row>
    <row r="36" spans="1:8" ht="12.75">
      <c r="A36" s="5" t="s">
        <v>30</v>
      </c>
      <c r="B36" s="5" t="s">
        <v>7</v>
      </c>
      <c r="C36" s="5" t="s">
        <v>180</v>
      </c>
      <c r="D36" s="5" t="s">
        <v>248</v>
      </c>
      <c r="E36" s="5" t="s">
        <v>351</v>
      </c>
      <c r="F36" s="5" t="s">
        <v>249</v>
      </c>
      <c r="G36" s="86">
        <v>71.0725</v>
      </c>
      <c r="H36" s="33" t="s">
        <v>376</v>
      </c>
    </row>
    <row r="37" spans="1:8" ht="12.75">
      <c r="A37" s="5" t="s">
        <v>31</v>
      </c>
      <c r="B37" s="5" t="s">
        <v>7</v>
      </c>
      <c r="C37" s="5" t="s">
        <v>181</v>
      </c>
      <c r="D37" s="5" t="s">
        <v>250</v>
      </c>
      <c r="E37" s="5" t="s">
        <v>351</v>
      </c>
      <c r="F37" s="5" t="s">
        <v>251</v>
      </c>
      <c r="G37" s="86">
        <v>9.6425</v>
      </c>
      <c r="H37" s="33" t="s">
        <v>376</v>
      </c>
    </row>
    <row r="38" spans="1:8" ht="12.75">
      <c r="A38" s="5" t="s">
        <v>32</v>
      </c>
      <c r="B38" s="5" t="s">
        <v>7</v>
      </c>
      <c r="C38" s="5" t="s">
        <v>182</v>
      </c>
      <c r="D38" s="5" t="s">
        <v>252</v>
      </c>
      <c r="E38" s="5" t="s">
        <v>353</v>
      </c>
      <c r="F38" s="5" t="s">
        <v>253</v>
      </c>
      <c r="G38" s="86">
        <v>4</v>
      </c>
      <c r="H38" s="33" t="s">
        <v>376</v>
      </c>
    </row>
    <row r="39" spans="1:8" ht="12.75">
      <c r="A39" s="5" t="s">
        <v>33</v>
      </c>
      <c r="B39" s="5" t="s">
        <v>7</v>
      </c>
      <c r="C39" s="5" t="s">
        <v>183</v>
      </c>
      <c r="D39" s="5" t="s">
        <v>254</v>
      </c>
      <c r="E39" s="5" t="s">
        <v>351</v>
      </c>
      <c r="F39" s="5" t="s">
        <v>255</v>
      </c>
      <c r="G39" s="86">
        <v>12.5</v>
      </c>
      <c r="H39" s="33" t="s">
        <v>376</v>
      </c>
    </row>
    <row r="40" spans="1:8" ht="12.75">
      <c r="A40" s="5" t="s">
        <v>34</v>
      </c>
      <c r="B40" s="5" t="s">
        <v>7</v>
      </c>
      <c r="C40" s="5" t="s">
        <v>184</v>
      </c>
      <c r="D40" s="5" t="s">
        <v>256</v>
      </c>
      <c r="E40" s="5" t="s">
        <v>351</v>
      </c>
      <c r="F40" s="5" t="s">
        <v>257</v>
      </c>
      <c r="G40" s="86">
        <v>54.6925</v>
      </c>
      <c r="H40" s="33" t="s">
        <v>376</v>
      </c>
    </row>
    <row r="41" spans="1:8" ht="12.75">
      <c r="A41" s="5" t="s">
        <v>35</v>
      </c>
      <c r="B41" s="5" t="s">
        <v>7</v>
      </c>
      <c r="C41" s="5" t="s">
        <v>186</v>
      </c>
      <c r="D41" s="5" t="s">
        <v>259</v>
      </c>
      <c r="E41" s="5" t="s">
        <v>356</v>
      </c>
      <c r="F41" s="5" t="s">
        <v>260</v>
      </c>
      <c r="G41" s="86">
        <v>22.98</v>
      </c>
      <c r="H41" s="33" t="s">
        <v>376</v>
      </c>
    </row>
    <row r="42" spans="1:8" ht="12.75">
      <c r="A42" s="5" t="s">
        <v>36</v>
      </c>
      <c r="B42" s="5" t="s">
        <v>7</v>
      </c>
      <c r="C42" s="5" t="s">
        <v>187</v>
      </c>
      <c r="D42" s="5" t="s">
        <v>261</v>
      </c>
      <c r="E42" s="5" t="s">
        <v>356</v>
      </c>
      <c r="F42" s="5" t="s">
        <v>262</v>
      </c>
      <c r="G42" s="86">
        <v>459.6</v>
      </c>
      <c r="H42" s="33" t="s">
        <v>376</v>
      </c>
    </row>
    <row r="43" spans="1:8" ht="12.75">
      <c r="A43" s="5" t="s">
        <v>37</v>
      </c>
      <c r="B43" s="5" t="s">
        <v>7</v>
      </c>
      <c r="C43" s="5" t="s">
        <v>189</v>
      </c>
      <c r="D43" s="5" t="s">
        <v>263</v>
      </c>
      <c r="E43" s="5" t="s">
        <v>356</v>
      </c>
      <c r="F43" s="5" t="s">
        <v>264</v>
      </c>
      <c r="G43" s="86">
        <v>22.98</v>
      </c>
      <c r="H43" s="33" t="s">
        <v>376</v>
      </c>
    </row>
    <row r="44" spans="1:8" ht="12.75">
      <c r="A44" s="5" t="s">
        <v>38</v>
      </c>
      <c r="B44" s="5" t="s">
        <v>7</v>
      </c>
      <c r="C44" s="5" t="s">
        <v>191</v>
      </c>
      <c r="D44" s="5" t="s">
        <v>266</v>
      </c>
      <c r="E44" s="5" t="s">
        <v>356</v>
      </c>
      <c r="F44" s="5" t="s">
        <v>267</v>
      </c>
      <c r="G44" s="86">
        <v>7.9</v>
      </c>
      <c r="H44" s="33" t="s">
        <v>376</v>
      </c>
    </row>
    <row r="45" spans="1:8" ht="12.75">
      <c r="A45" s="5" t="s">
        <v>39</v>
      </c>
      <c r="B45" s="5" t="s">
        <v>7</v>
      </c>
      <c r="C45" s="5" t="s">
        <v>192</v>
      </c>
      <c r="D45" s="5" t="s">
        <v>268</v>
      </c>
      <c r="E45" s="5" t="s">
        <v>356</v>
      </c>
      <c r="F45" s="5" t="s">
        <v>269</v>
      </c>
      <c r="G45" s="86">
        <v>7.9</v>
      </c>
      <c r="H45" s="33" t="s">
        <v>376</v>
      </c>
    </row>
    <row r="46" spans="1:8" ht="12.75">
      <c r="A46" s="5" t="s">
        <v>40</v>
      </c>
      <c r="B46" s="5" t="s">
        <v>7</v>
      </c>
      <c r="C46" s="5" t="s">
        <v>193</v>
      </c>
      <c r="D46" s="5" t="s">
        <v>270</v>
      </c>
      <c r="E46" s="5" t="s">
        <v>356</v>
      </c>
      <c r="F46" s="5" t="s">
        <v>269</v>
      </c>
      <c r="G46" s="86">
        <v>7.9</v>
      </c>
      <c r="H46" s="33" t="s">
        <v>376</v>
      </c>
    </row>
    <row r="47" spans="1:8" ht="12.75">
      <c r="A47" s="5" t="s">
        <v>41</v>
      </c>
      <c r="B47" s="5" t="s">
        <v>7</v>
      </c>
      <c r="C47" s="5" t="s">
        <v>194</v>
      </c>
      <c r="D47" s="5" t="s">
        <v>271</v>
      </c>
      <c r="E47" s="5" t="s">
        <v>356</v>
      </c>
      <c r="F47" s="5" t="s">
        <v>269</v>
      </c>
      <c r="G47" s="86">
        <v>7.9</v>
      </c>
      <c r="H47" s="33" t="s">
        <v>376</v>
      </c>
    </row>
    <row r="48" spans="1:8" ht="12.75">
      <c r="A48" s="5" t="s">
        <v>42</v>
      </c>
      <c r="B48" s="5" t="s">
        <v>8</v>
      </c>
      <c r="C48" s="5" t="s">
        <v>153</v>
      </c>
      <c r="D48" s="5" t="s">
        <v>204</v>
      </c>
      <c r="E48" s="5" t="s">
        <v>350</v>
      </c>
      <c r="F48" s="5" t="s">
        <v>273</v>
      </c>
      <c r="G48" s="86">
        <v>82.8</v>
      </c>
      <c r="H48" s="33" t="s">
        <v>376</v>
      </c>
    </row>
    <row r="49" spans="1:8" ht="12.75">
      <c r="A49" s="5" t="s">
        <v>43</v>
      </c>
      <c r="B49" s="5" t="s">
        <v>8</v>
      </c>
      <c r="C49" s="5" t="s">
        <v>154</v>
      </c>
      <c r="D49" s="5" t="s">
        <v>207</v>
      </c>
      <c r="E49" s="5" t="s">
        <v>351</v>
      </c>
      <c r="F49" s="5" t="s">
        <v>274</v>
      </c>
      <c r="G49" s="86">
        <v>31.32</v>
      </c>
      <c r="H49" s="33" t="s">
        <v>376</v>
      </c>
    </row>
    <row r="50" spans="1:8" ht="12.75">
      <c r="A50" s="5" t="s">
        <v>44</v>
      </c>
      <c r="B50" s="5" t="s">
        <v>8</v>
      </c>
      <c r="C50" s="5" t="s">
        <v>155</v>
      </c>
      <c r="D50" s="5" t="s">
        <v>209</v>
      </c>
      <c r="E50" s="5" t="s">
        <v>351</v>
      </c>
      <c r="F50" s="5" t="s">
        <v>275</v>
      </c>
      <c r="G50" s="86">
        <v>33.12</v>
      </c>
      <c r="H50" s="33" t="s">
        <v>376</v>
      </c>
    </row>
    <row r="51" spans="1:8" ht="12.75">
      <c r="A51" s="5" t="s">
        <v>45</v>
      </c>
      <c r="B51" s="5" t="s">
        <v>8</v>
      </c>
      <c r="C51" s="5" t="s">
        <v>157</v>
      </c>
      <c r="D51" s="5" t="s">
        <v>212</v>
      </c>
      <c r="E51" s="5" t="s">
        <v>352</v>
      </c>
      <c r="F51" s="5" t="s">
        <v>276</v>
      </c>
      <c r="G51" s="86">
        <v>24</v>
      </c>
      <c r="H51" s="33"/>
    </row>
    <row r="52" spans="1:8" ht="12.75">
      <c r="A52" s="5" t="s">
        <v>46</v>
      </c>
      <c r="B52" s="5" t="s">
        <v>8</v>
      </c>
      <c r="C52" s="5" t="s">
        <v>158</v>
      </c>
      <c r="D52" s="5" t="s">
        <v>215</v>
      </c>
      <c r="E52" s="5" t="s">
        <v>353</v>
      </c>
      <c r="F52" s="5" t="s">
        <v>18</v>
      </c>
      <c r="G52" s="86">
        <v>12</v>
      </c>
      <c r="H52" s="33" t="s">
        <v>376</v>
      </c>
    </row>
    <row r="53" spans="1:8" ht="12.75">
      <c r="A53" s="5" t="s">
        <v>47</v>
      </c>
      <c r="B53" s="5" t="s">
        <v>8</v>
      </c>
      <c r="C53" s="5" t="s">
        <v>159</v>
      </c>
      <c r="D53" s="5" t="s">
        <v>217</v>
      </c>
      <c r="E53" s="5" t="s">
        <v>350</v>
      </c>
      <c r="F53" s="5" t="s">
        <v>277</v>
      </c>
      <c r="G53" s="86">
        <v>82.8</v>
      </c>
      <c r="H53" s="33" t="s">
        <v>376</v>
      </c>
    </row>
    <row r="54" spans="1:8" ht="12.75">
      <c r="A54" s="5" t="s">
        <v>48</v>
      </c>
      <c r="B54" s="5" t="s">
        <v>8</v>
      </c>
      <c r="C54" s="5" t="s">
        <v>161</v>
      </c>
      <c r="D54" s="5" t="s">
        <v>221</v>
      </c>
      <c r="E54" s="5" t="s">
        <v>350</v>
      </c>
      <c r="F54" s="5" t="s">
        <v>278</v>
      </c>
      <c r="G54" s="86">
        <v>15.6</v>
      </c>
      <c r="H54" s="33" t="s">
        <v>376</v>
      </c>
    </row>
    <row r="55" spans="1:8" ht="12.75">
      <c r="A55" s="5" t="s">
        <v>49</v>
      </c>
      <c r="B55" s="5" t="s">
        <v>8</v>
      </c>
      <c r="C55" s="5" t="s">
        <v>163</v>
      </c>
      <c r="D55" s="5" t="s">
        <v>224</v>
      </c>
      <c r="E55" s="5" t="s">
        <v>350</v>
      </c>
      <c r="F55" s="5" t="s">
        <v>279</v>
      </c>
      <c r="G55" s="86">
        <v>21.6</v>
      </c>
      <c r="H55" s="33" t="s">
        <v>376</v>
      </c>
    </row>
    <row r="56" spans="1:8" ht="12.75">
      <c r="A56" s="5" t="s">
        <v>50</v>
      </c>
      <c r="B56" s="5" t="s">
        <v>8</v>
      </c>
      <c r="C56" s="5" t="s">
        <v>164</v>
      </c>
      <c r="D56" s="5" t="s">
        <v>226</v>
      </c>
      <c r="E56" s="5" t="s">
        <v>350</v>
      </c>
      <c r="F56" s="5" t="s">
        <v>279</v>
      </c>
      <c r="G56" s="86">
        <v>21.6</v>
      </c>
      <c r="H56" s="33" t="s">
        <v>376</v>
      </c>
    </row>
    <row r="57" spans="1:8" ht="12.75">
      <c r="A57" s="5" t="s">
        <v>51</v>
      </c>
      <c r="B57" s="5" t="s">
        <v>8</v>
      </c>
      <c r="C57" s="5" t="s">
        <v>167</v>
      </c>
      <c r="D57" s="5" t="s">
        <v>230</v>
      </c>
      <c r="E57" s="5" t="s">
        <v>355</v>
      </c>
      <c r="F57" s="5" t="s">
        <v>18</v>
      </c>
      <c r="G57" s="86">
        <v>12</v>
      </c>
      <c r="H57" s="33"/>
    </row>
    <row r="58" spans="1:8" ht="12.75">
      <c r="A58" s="5" t="s">
        <v>52</v>
      </c>
      <c r="B58" s="5" t="s">
        <v>8</v>
      </c>
      <c r="C58" s="5" t="s">
        <v>177</v>
      </c>
      <c r="D58" s="5" t="s">
        <v>242</v>
      </c>
      <c r="E58" s="5" t="s">
        <v>351</v>
      </c>
      <c r="F58" s="5" t="s">
        <v>280</v>
      </c>
      <c r="G58" s="86">
        <v>35.88</v>
      </c>
      <c r="H58" s="33" t="s">
        <v>376</v>
      </c>
    </row>
    <row r="59" spans="1:8" ht="12.75">
      <c r="A59" s="6" t="s">
        <v>53</v>
      </c>
      <c r="B59" s="6" t="s">
        <v>8</v>
      </c>
      <c r="C59" s="6" t="s">
        <v>178</v>
      </c>
      <c r="D59" s="6" t="s">
        <v>244</v>
      </c>
      <c r="E59" s="6" t="s">
        <v>353</v>
      </c>
      <c r="F59" s="6" t="s">
        <v>18</v>
      </c>
      <c r="G59" s="87">
        <v>12</v>
      </c>
      <c r="H59" s="34" t="s">
        <v>376</v>
      </c>
    </row>
    <row r="60" spans="1:8" ht="12.75">
      <c r="A60" s="5" t="s">
        <v>54</v>
      </c>
      <c r="B60" s="5" t="s">
        <v>8</v>
      </c>
      <c r="C60" s="5" t="s">
        <v>179</v>
      </c>
      <c r="D60" s="5" t="s">
        <v>246</v>
      </c>
      <c r="E60" s="5" t="s">
        <v>353</v>
      </c>
      <c r="F60" s="5" t="s">
        <v>281</v>
      </c>
      <c r="G60" s="86">
        <v>72</v>
      </c>
      <c r="H60" s="33" t="s">
        <v>376</v>
      </c>
    </row>
    <row r="61" spans="1:8" ht="12.75">
      <c r="A61" s="5" t="s">
        <v>55</v>
      </c>
      <c r="B61" s="5" t="s">
        <v>8</v>
      </c>
      <c r="C61" s="5" t="s">
        <v>180</v>
      </c>
      <c r="D61" s="5" t="s">
        <v>248</v>
      </c>
      <c r="E61" s="5" t="s">
        <v>351</v>
      </c>
      <c r="F61" s="5" t="s">
        <v>282</v>
      </c>
      <c r="G61" s="86">
        <v>31.464</v>
      </c>
      <c r="H61" s="33" t="s">
        <v>376</v>
      </c>
    </row>
    <row r="62" spans="1:8" ht="12.75">
      <c r="A62" s="5" t="s">
        <v>56</v>
      </c>
      <c r="B62" s="5" t="s">
        <v>8</v>
      </c>
      <c r="C62" s="5" t="s">
        <v>183</v>
      </c>
      <c r="D62" s="5" t="s">
        <v>254</v>
      </c>
      <c r="E62" s="5" t="s">
        <v>351</v>
      </c>
      <c r="F62" s="5" t="s">
        <v>283</v>
      </c>
      <c r="G62" s="86">
        <v>6</v>
      </c>
      <c r="H62" s="33" t="s">
        <v>376</v>
      </c>
    </row>
    <row r="63" spans="1:8" ht="12.75">
      <c r="A63" s="5" t="s">
        <v>57</v>
      </c>
      <c r="B63" s="5" t="s">
        <v>8</v>
      </c>
      <c r="C63" s="5" t="s">
        <v>184</v>
      </c>
      <c r="D63" s="5" t="s">
        <v>256</v>
      </c>
      <c r="E63" s="5" t="s">
        <v>351</v>
      </c>
      <c r="F63" s="5" t="s">
        <v>284</v>
      </c>
      <c r="G63" s="86">
        <v>24.15</v>
      </c>
      <c r="H63" s="33" t="s">
        <v>376</v>
      </c>
    </row>
    <row r="64" spans="1:8" ht="12.75">
      <c r="A64" s="5" t="s">
        <v>58</v>
      </c>
      <c r="B64" s="5" t="s">
        <v>8</v>
      </c>
      <c r="C64" s="5" t="s">
        <v>186</v>
      </c>
      <c r="D64" s="5" t="s">
        <v>259</v>
      </c>
      <c r="E64" s="5" t="s">
        <v>356</v>
      </c>
      <c r="F64" s="5" t="s">
        <v>285</v>
      </c>
      <c r="G64" s="86">
        <v>10.72</v>
      </c>
      <c r="H64" s="33" t="s">
        <v>376</v>
      </c>
    </row>
    <row r="65" spans="1:8" ht="12.75">
      <c r="A65" s="5" t="s">
        <v>59</v>
      </c>
      <c r="B65" s="5" t="s">
        <v>8</v>
      </c>
      <c r="C65" s="5" t="s">
        <v>187</v>
      </c>
      <c r="D65" s="5" t="s">
        <v>261</v>
      </c>
      <c r="E65" s="5" t="s">
        <v>356</v>
      </c>
      <c r="F65" s="5" t="s">
        <v>286</v>
      </c>
      <c r="G65" s="86">
        <v>214.4</v>
      </c>
      <c r="H65" s="33" t="s">
        <v>376</v>
      </c>
    </row>
    <row r="66" spans="1:8" ht="12.75">
      <c r="A66" s="5" t="s">
        <v>60</v>
      </c>
      <c r="B66" s="5" t="s">
        <v>8</v>
      </c>
      <c r="C66" s="5" t="s">
        <v>189</v>
      </c>
      <c r="D66" s="5" t="s">
        <v>263</v>
      </c>
      <c r="E66" s="5" t="s">
        <v>356</v>
      </c>
      <c r="F66" s="5" t="s">
        <v>287</v>
      </c>
      <c r="G66" s="86">
        <v>10.72</v>
      </c>
      <c r="H66" s="33" t="s">
        <v>376</v>
      </c>
    </row>
    <row r="67" spans="1:8" ht="12.75">
      <c r="A67" s="5" t="s">
        <v>61</v>
      </c>
      <c r="B67" s="5" t="s">
        <v>8</v>
      </c>
      <c r="C67" s="5" t="s">
        <v>191</v>
      </c>
      <c r="D67" s="5" t="s">
        <v>266</v>
      </c>
      <c r="E67" s="5" t="s">
        <v>356</v>
      </c>
      <c r="F67" s="5" t="s">
        <v>288</v>
      </c>
      <c r="G67" s="86">
        <v>3.08</v>
      </c>
      <c r="H67" s="33" t="s">
        <v>376</v>
      </c>
    </row>
    <row r="68" spans="1:8" ht="12.75">
      <c r="A68" s="5" t="s">
        <v>62</v>
      </c>
      <c r="B68" s="5" t="s">
        <v>8</v>
      </c>
      <c r="C68" s="5" t="s">
        <v>192</v>
      </c>
      <c r="D68" s="5" t="s">
        <v>268</v>
      </c>
      <c r="E68" s="5" t="s">
        <v>356</v>
      </c>
      <c r="F68" s="5" t="s">
        <v>288</v>
      </c>
      <c r="G68" s="86">
        <v>3.08</v>
      </c>
      <c r="H68" s="33" t="s">
        <v>376</v>
      </c>
    </row>
    <row r="69" spans="1:8" ht="12.75">
      <c r="A69" s="5" t="s">
        <v>63</v>
      </c>
      <c r="B69" s="5" t="s">
        <v>8</v>
      </c>
      <c r="C69" s="5" t="s">
        <v>193</v>
      </c>
      <c r="D69" s="5" t="s">
        <v>270</v>
      </c>
      <c r="E69" s="5" t="s">
        <v>356</v>
      </c>
      <c r="F69" s="5" t="s">
        <v>288</v>
      </c>
      <c r="G69" s="86">
        <v>3.08</v>
      </c>
      <c r="H69" s="33" t="s">
        <v>376</v>
      </c>
    </row>
    <row r="70" spans="1:8" ht="12.75">
      <c r="A70" s="5" t="s">
        <v>64</v>
      </c>
      <c r="B70" s="5" t="s">
        <v>8</v>
      </c>
      <c r="C70" s="5" t="s">
        <v>194</v>
      </c>
      <c r="D70" s="5" t="s">
        <v>271</v>
      </c>
      <c r="E70" s="5" t="s">
        <v>356</v>
      </c>
      <c r="F70" s="5" t="s">
        <v>288</v>
      </c>
      <c r="G70" s="86">
        <v>3.08</v>
      </c>
      <c r="H70" s="33" t="s">
        <v>376</v>
      </c>
    </row>
    <row r="71" spans="1:8" ht="12.75">
      <c r="A71" s="5" t="s">
        <v>65</v>
      </c>
      <c r="B71" s="5" t="s">
        <v>9</v>
      </c>
      <c r="C71" s="5" t="s">
        <v>153</v>
      </c>
      <c r="D71" s="5" t="s">
        <v>204</v>
      </c>
      <c r="E71" s="5" t="s">
        <v>350</v>
      </c>
      <c r="F71" s="5" t="s">
        <v>290</v>
      </c>
      <c r="G71" s="86">
        <v>55.2</v>
      </c>
      <c r="H71" s="33" t="s">
        <v>376</v>
      </c>
    </row>
    <row r="72" spans="1:8" ht="12.75">
      <c r="A72" s="5" t="s">
        <v>66</v>
      </c>
      <c r="B72" s="5" t="s">
        <v>9</v>
      </c>
      <c r="C72" s="5" t="s">
        <v>154</v>
      </c>
      <c r="D72" s="5" t="s">
        <v>207</v>
      </c>
      <c r="E72" s="5" t="s">
        <v>351</v>
      </c>
      <c r="F72" s="5" t="s">
        <v>291</v>
      </c>
      <c r="G72" s="86">
        <v>29.355</v>
      </c>
      <c r="H72" s="33" t="s">
        <v>376</v>
      </c>
    </row>
    <row r="73" spans="1:8" ht="12.75">
      <c r="A73" s="5" t="s">
        <v>67</v>
      </c>
      <c r="B73" s="5" t="s">
        <v>9</v>
      </c>
      <c r="C73" s="5" t="s">
        <v>155</v>
      </c>
      <c r="D73" s="5" t="s">
        <v>209</v>
      </c>
      <c r="E73" s="5" t="s">
        <v>351</v>
      </c>
      <c r="F73" s="5" t="s">
        <v>292</v>
      </c>
      <c r="G73" s="86">
        <v>34.4225</v>
      </c>
      <c r="H73" s="33" t="s">
        <v>376</v>
      </c>
    </row>
    <row r="74" spans="1:8" ht="12.75">
      <c r="A74" s="5" t="s">
        <v>68</v>
      </c>
      <c r="B74" s="5" t="s">
        <v>9</v>
      </c>
      <c r="C74" s="5" t="s">
        <v>157</v>
      </c>
      <c r="D74" s="5" t="s">
        <v>212</v>
      </c>
      <c r="E74" s="5" t="s">
        <v>352</v>
      </c>
      <c r="F74" s="5" t="s">
        <v>293</v>
      </c>
      <c r="G74" s="86">
        <v>26</v>
      </c>
      <c r="H74" s="33"/>
    </row>
    <row r="75" spans="1:8" ht="12.75">
      <c r="A75" s="5" t="s">
        <v>69</v>
      </c>
      <c r="B75" s="5" t="s">
        <v>9</v>
      </c>
      <c r="C75" s="5" t="s">
        <v>158</v>
      </c>
      <c r="D75" s="5" t="s">
        <v>215</v>
      </c>
      <c r="E75" s="5" t="s">
        <v>353</v>
      </c>
      <c r="F75" s="5" t="s">
        <v>294</v>
      </c>
      <c r="G75" s="86">
        <v>11</v>
      </c>
      <c r="H75" s="33" t="s">
        <v>376</v>
      </c>
    </row>
    <row r="76" spans="1:8" ht="12.75">
      <c r="A76" s="5" t="s">
        <v>70</v>
      </c>
      <c r="B76" s="5" t="s">
        <v>9</v>
      </c>
      <c r="C76" s="5" t="s">
        <v>159</v>
      </c>
      <c r="D76" s="5" t="s">
        <v>217</v>
      </c>
      <c r="E76" s="5" t="s">
        <v>350</v>
      </c>
      <c r="G76" s="86">
        <v>83.75</v>
      </c>
      <c r="H76" s="33" t="s">
        <v>376</v>
      </c>
    </row>
    <row r="77" spans="6:7" ht="12.75">
      <c r="F77" s="5" t="s">
        <v>295</v>
      </c>
      <c r="G77" s="21">
        <v>76.2</v>
      </c>
    </row>
    <row r="78" spans="1:7" ht="12.75">
      <c r="A78" s="5"/>
      <c r="B78" s="5"/>
      <c r="C78" s="5"/>
      <c r="D78" s="5"/>
      <c r="E78" s="5"/>
      <c r="F78" s="5" t="s">
        <v>219</v>
      </c>
      <c r="G78" s="86">
        <v>7.55</v>
      </c>
    </row>
    <row r="79" spans="1:8" ht="12.75">
      <c r="A79" s="5" t="s">
        <v>71</v>
      </c>
      <c r="B79" s="5" t="s">
        <v>9</v>
      </c>
      <c r="C79" s="5" t="s">
        <v>160</v>
      </c>
      <c r="D79" s="5" t="s">
        <v>220</v>
      </c>
      <c r="E79" s="5" t="s">
        <v>353</v>
      </c>
      <c r="F79" s="5" t="s">
        <v>7</v>
      </c>
      <c r="G79" s="86">
        <v>1</v>
      </c>
      <c r="H79" s="33" t="s">
        <v>376</v>
      </c>
    </row>
    <row r="80" spans="1:8" ht="12.75">
      <c r="A80" s="5" t="s">
        <v>72</v>
      </c>
      <c r="B80" s="5" t="s">
        <v>9</v>
      </c>
      <c r="C80" s="5" t="s">
        <v>161</v>
      </c>
      <c r="D80" s="5" t="s">
        <v>221</v>
      </c>
      <c r="E80" s="5" t="s">
        <v>350</v>
      </c>
      <c r="F80" s="5" t="s">
        <v>296</v>
      </c>
      <c r="G80" s="86">
        <v>17.6</v>
      </c>
      <c r="H80" s="33" t="s">
        <v>376</v>
      </c>
    </row>
    <row r="81" spans="1:8" ht="12.75">
      <c r="A81" s="5" t="s">
        <v>73</v>
      </c>
      <c r="B81" s="5" t="s">
        <v>9</v>
      </c>
      <c r="C81" s="5" t="s">
        <v>163</v>
      </c>
      <c r="D81" s="5" t="s">
        <v>224</v>
      </c>
      <c r="E81" s="5" t="s">
        <v>350</v>
      </c>
      <c r="F81" s="5" t="s">
        <v>297</v>
      </c>
      <c r="G81" s="86">
        <v>21.6</v>
      </c>
      <c r="H81" s="33" t="s">
        <v>376</v>
      </c>
    </row>
    <row r="82" spans="1:8" ht="12.75">
      <c r="A82" s="5" t="s">
        <v>74</v>
      </c>
      <c r="B82" s="5" t="s">
        <v>9</v>
      </c>
      <c r="C82" s="5" t="s">
        <v>164</v>
      </c>
      <c r="D82" s="5" t="s">
        <v>226</v>
      </c>
      <c r="E82" s="5" t="s">
        <v>350</v>
      </c>
      <c r="F82" s="5" t="s">
        <v>297</v>
      </c>
      <c r="G82" s="86">
        <v>21.6</v>
      </c>
      <c r="H82" s="33" t="s">
        <v>376</v>
      </c>
    </row>
    <row r="83" spans="1:8" ht="12.75">
      <c r="A83" s="5" t="s">
        <v>75</v>
      </c>
      <c r="B83" s="5" t="s">
        <v>9</v>
      </c>
      <c r="C83" s="5" t="s">
        <v>166</v>
      </c>
      <c r="D83" s="5" t="s">
        <v>229</v>
      </c>
      <c r="E83" s="5" t="s">
        <v>354</v>
      </c>
      <c r="F83" s="5" t="s">
        <v>7</v>
      </c>
      <c r="G83" s="86">
        <v>1</v>
      </c>
      <c r="H83" s="33"/>
    </row>
    <row r="84" spans="1:8" ht="12.75">
      <c r="A84" s="5" t="s">
        <v>76</v>
      </c>
      <c r="B84" s="5" t="s">
        <v>9</v>
      </c>
      <c r="C84" s="5" t="s">
        <v>167</v>
      </c>
      <c r="D84" s="5" t="s">
        <v>230</v>
      </c>
      <c r="E84" s="5" t="s">
        <v>355</v>
      </c>
      <c r="F84" s="5" t="s">
        <v>14</v>
      </c>
      <c r="G84" s="86">
        <v>8</v>
      </c>
      <c r="H84" s="33"/>
    </row>
    <row r="85" spans="1:8" ht="12.75">
      <c r="A85" s="5" t="s">
        <v>77</v>
      </c>
      <c r="B85" s="5" t="s">
        <v>9</v>
      </c>
      <c r="C85" s="5" t="s">
        <v>167</v>
      </c>
      <c r="D85" s="5" t="s">
        <v>298</v>
      </c>
      <c r="E85" s="5" t="s">
        <v>355</v>
      </c>
      <c r="F85" s="5" t="s">
        <v>9</v>
      </c>
      <c r="G85" s="86">
        <v>3</v>
      </c>
      <c r="H85" s="33"/>
    </row>
    <row r="86" spans="1:8" ht="12.75">
      <c r="A86" s="5" t="s">
        <v>78</v>
      </c>
      <c r="B86" s="5" t="s">
        <v>9</v>
      </c>
      <c r="C86" s="5" t="s">
        <v>168</v>
      </c>
      <c r="D86" s="5" t="s">
        <v>232</v>
      </c>
      <c r="E86" s="5" t="s">
        <v>353</v>
      </c>
      <c r="F86" s="5" t="s">
        <v>8</v>
      </c>
      <c r="G86" s="86">
        <v>2</v>
      </c>
      <c r="H86" s="33" t="s">
        <v>376</v>
      </c>
    </row>
    <row r="87" spans="1:8" ht="12.75">
      <c r="A87" s="5" t="s">
        <v>79</v>
      </c>
      <c r="B87" s="5" t="s">
        <v>9</v>
      </c>
      <c r="C87" s="5" t="s">
        <v>169</v>
      </c>
      <c r="D87" s="5" t="s">
        <v>233</v>
      </c>
      <c r="E87" s="5" t="s">
        <v>353</v>
      </c>
      <c r="F87" s="5" t="s">
        <v>8</v>
      </c>
      <c r="G87" s="86">
        <v>2</v>
      </c>
      <c r="H87" s="33" t="s">
        <v>376</v>
      </c>
    </row>
    <row r="88" spans="1:8" ht="12.75">
      <c r="A88" s="5" t="s">
        <v>80</v>
      </c>
      <c r="B88" s="5" t="s">
        <v>9</v>
      </c>
      <c r="C88" s="5" t="s">
        <v>166</v>
      </c>
      <c r="D88" s="5" t="s">
        <v>299</v>
      </c>
      <c r="E88" s="5" t="s">
        <v>354</v>
      </c>
      <c r="F88" s="5" t="s">
        <v>7</v>
      </c>
      <c r="G88" s="86">
        <v>1</v>
      </c>
      <c r="H88" s="33"/>
    </row>
    <row r="89" spans="1:8" ht="12.75">
      <c r="A89" s="5" t="s">
        <v>81</v>
      </c>
      <c r="B89" s="5" t="s">
        <v>9</v>
      </c>
      <c r="C89" s="5" t="s">
        <v>171</v>
      </c>
      <c r="D89" s="5" t="s">
        <v>235</v>
      </c>
      <c r="E89" s="5" t="s">
        <v>353</v>
      </c>
      <c r="F89" s="5" t="s">
        <v>8</v>
      </c>
      <c r="G89" s="86">
        <v>2</v>
      </c>
      <c r="H89" s="33" t="s">
        <v>376</v>
      </c>
    </row>
    <row r="90" spans="1:8" ht="12.75">
      <c r="A90" s="6" t="s">
        <v>82</v>
      </c>
      <c r="B90" s="6" t="s">
        <v>9</v>
      </c>
      <c r="C90" s="6" t="s">
        <v>172</v>
      </c>
      <c r="D90" s="6" t="s">
        <v>236</v>
      </c>
      <c r="E90" s="6" t="s">
        <v>353</v>
      </c>
      <c r="F90" s="6" t="s">
        <v>8</v>
      </c>
      <c r="G90" s="87">
        <v>2</v>
      </c>
      <c r="H90" s="34" t="s">
        <v>376</v>
      </c>
    </row>
    <row r="91" spans="1:8" ht="12.75">
      <c r="A91" s="5" t="s">
        <v>83</v>
      </c>
      <c r="B91" s="5" t="s">
        <v>9</v>
      </c>
      <c r="C91" s="5" t="s">
        <v>174</v>
      </c>
      <c r="D91" s="5" t="s">
        <v>238</v>
      </c>
      <c r="E91" s="5" t="s">
        <v>351</v>
      </c>
      <c r="F91" s="5" t="s">
        <v>300</v>
      </c>
      <c r="G91" s="86">
        <v>29.35</v>
      </c>
      <c r="H91" s="33" t="s">
        <v>376</v>
      </c>
    </row>
    <row r="92" spans="1:8" ht="12.75">
      <c r="A92" s="5" t="s">
        <v>84</v>
      </c>
      <c r="B92" s="5" t="s">
        <v>9</v>
      </c>
      <c r="C92" s="5" t="s">
        <v>175</v>
      </c>
      <c r="D92" s="5" t="s">
        <v>240</v>
      </c>
      <c r="E92" s="5" t="s">
        <v>351</v>
      </c>
      <c r="F92" s="5" t="s">
        <v>300</v>
      </c>
      <c r="G92" s="86">
        <v>29.35</v>
      </c>
      <c r="H92" s="33" t="s">
        <v>376</v>
      </c>
    </row>
    <row r="93" spans="1:8" ht="12.75">
      <c r="A93" s="5" t="s">
        <v>85</v>
      </c>
      <c r="B93" s="5" t="s">
        <v>9</v>
      </c>
      <c r="C93" s="5" t="s">
        <v>177</v>
      </c>
      <c r="D93" s="5" t="s">
        <v>242</v>
      </c>
      <c r="E93" s="5" t="s">
        <v>351</v>
      </c>
      <c r="F93" s="5" t="s">
        <v>301</v>
      </c>
      <c r="G93" s="86">
        <v>23.92</v>
      </c>
      <c r="H93" s="33" t="s">
        <v>376</v>
      </c>
    </row>
    <row r="94" spans="1:8" ht="12.75">
      <c r="A94" s="6" t="s">
        <v>86</v>
      </c>
      <c r="B94" s="6" t="s">
        <v>9</v>
      </c>
      <c r="C94" s="6" t="s">
        <v>178</v>
      </c>
      <c r="D94" s="6" t="s">
        <v>244</v>
      </c>
      <c r="E94" s="6" t="s">
        <v>353</v>
      </c>
      <c r="F94" s="6" t="s">
        <v>14</v>
      </c>
      <c r="G94" s="87">
        <v>8</v>
      </c>
      <c r="H94" s="34" t="s">
        <v>376</v>
      </c>
    </row>
    <row r="95" spans="1:8" ht="12.75">
      <c r="A95" s="5" t="s">
        <v>87</v>
      </c>
      <c r="B95" s="5" t="s">
        <v>9</v>
      </c>
      <c r="C95" s="5" t="s">
        <v>179</v>
      </c>
      <c r="D95" s="5" t="s">
        <v>246</v>
      </c>
      <c r="E95" s="5" t="s">
        <v>353</v>
      </c>
      <c r="F95" s="5" t="s">
        <v>302</v>
      </c>
      <c r="G95" s="86">
        <v>72</v>
      </c>
      <c r="H95" s="33" t="s">
        <v>376</v>
      </c>
    </row>
    <row r="96" spans="1:8" ht="12.75">
      <c r="A96" s="5" t="s">
        <v>88</v>
      </c>
      <c r="B96" s="5" t="s">
        <v>9</v>
      </c>
      <c r="C96" s="5" t="s">
        <v>180</v>
      </c>
      <c r="D96" s="5" t="s">
        <v>248</v>
      </c>
      <c r="E96" s="5" t="s">
        <v>351</v>
      </c>
      <c r="F96" s="5" t="s">
        <v>303</v>
      </c>
      <c r="G96" s="86">
        <v>28.896</v>
      </c>
      <c r="H96" s="33" t="s">
        <v>376</v>
      </c>
    </row>
    <row r="97" spans="1:8" ht="12.75">
      <c r="A97" s="5" t="s">
        <v>89</v>
      </c>
      <c r="B97" s="5" t="s">
        <v>9</v>
      </c>
      <c r="C97" s="5" t="s">
        <v>181</v>
      </c>
      <c r="D97" s="5" t="s">
        <v>250</v>
      </c>
      <c r="E97" s="5" t="s">
        <v>351</v>
      </c>
      <c r="F97" s="5" t="s">
        <v>304</v>
      </c>
      <c r="G97" s="86">
        <v>4.4225</v>
      </c>
      <c r="H97" s="33" t="s">
        <v>376</v>
      </c>
    </row>
    <row r="98" spans="1:8" ht="12.75">
      <c r="A98" s="5" t="s">
        <v>90</v>
      </c>
      <c r="B98" s="5" t="s">
        <v>9</v>
      </c>
      <c r="C98" s="5" t="s">
        <v>182</v>
      </c>
      <c r="D98" s="5" t="s">
        <v>252</v>
      </c>
      <c r="E98" s="5" t="s">
        <v>353</v>
      </c>
      <c r="F98" s="5" t="s">
        <v>8</v>
      </c>
      <c r="G98" s="86">
        <v>2</v>
      </c>
      <c r="H98" s="33" t="s">
        <v>376</v>
      </c>
    </row>
    <row r="99" spans="1:8" ht="12.75">
      <c r="A99" s="5" t="s">
        <v>91</v>
      </c>
      <c r="B99" s="5" t="s">
        <v>9</v>
      </c>
      <c r="C99" s="5" t="s">
        <v>183</v>
      </c>
      <c r="D99" s="5" t="s">
        <v>254</v>
      </c>
      <c r="E99" s="5" t="s">
        <v>351</v>
      </c>
      <c r="F99" s="5" t="s">
        <v>305</v>
      </c>
      <c r="G99" s="86">
        <v>5.92</v>
      </c>
      <c r="H99" s="33" t="s">
        <v>376</v>
      </c>
    </row>
    <row r="100" spans="1:8" ht="12.75">
      <c r="A100" s="5" t="s">
        <v>92</v>
      </c>
      <c r="B100" s="5" t="s">
        <v>9</v>
      </c>
      <c r="C100" s="5" t="s">
        <v>184</v>
      </c>
      <c r="D100" s="5" t="s">
        <v>256</v>
      </c>
      <c r="E100" s="5" t="s">
        <v>351</v>
      </c>
      <c r="F100" s="5" t="s">
        <v>306</v>
      </c>
      <c r="G100" s="86">
        <v>22.835</v>
      </c>
      <c r="H100" s="33" t="s">
        <v>376</v>
      </c>
    </row>
    <row r="101" spans="1:8" ht="12.75">
      <c r="A101" s="5" t="s">
        <v>93</v>
      </c>
      <c r="B101" s="5" t="s">
        <v>9</v>
      </c>
      <c r="C101" s="5" t="s">
        <v>186</v>
      </c>
      <c r="D101" s="5" t="s">
        <v>259</v>
      </c>
      <c r="E101" s="5" t="s">
        <v>356</v>
      </c>
      <c r="F101" s="5" t="s">
        <v>307</v>
      </c>
      <c r="G101" s="86">
        <v>8.2</v>
      </c>
      <c r="H101" s="33" t="s">
        <v>376</v>
      </c>
    </row>
    <row r="102" spans="1:8" ht="12.75">
      <c r="A102" s="5" t="s">
        <v>94</v>
      </c>
      <c r="B102" s="5" t="s">
        <v>9</v>
      </c>
      <c r="C102" s="5" t="s">
        <v>187</v>
      </c>
      <c r="D102" s="5" t="s">
        <v>261</v>
      </c>
      <c r="E102" s="5" t="s">
        <v>356</v>
      </c>
      <c r="F102" s="5" t="s">
        <v>308</v>
      </c>
      <c r="G102" s="86">
        <v>164</v>
      </c>
      <c r="H102" s="33" t="s">
        <v>376</v>
      </c>
    </row>
    <row r="103" spans="1:8" ht="12.75">
      <c r="A103" s="5" t="s">
        <v>95</v>
      </c>
      <c r="B103" s="5" t="s">
        <v>9</v>
      </c>
      <c r="C103" s="5" t="s">
        <v>189</v>
      </c>
      <c r="D103" s="5" t="s">
        <v>263</v>
      </c>
      <c r="E103" s="5" t="s">
        <v>356</v>
      </c>
      <c r="F103" s="5" t="s">
        <v>309</v>
      </c>
      <c r="G103" s="86">
        <v>8.2</v>
      </c>
      <c r="H103" s="33" t="s">
        <v>376</v>
      </c>
    </row>
    <row r="104" spans="1:8" ht="12.75">
      <c r="A104" s="5" t="s">
        <v>96</v>
      </c>
      <c r="B104" s="5" t="s">
        <v>9</v>
      </c>
      <c r="C104" s="5" t="s">
        <v>191</v>
      </c>
      <c r="D104" s="5" t="s">
        <v>266</v>
      </c>
      <c r="E104" s="5" t="s">
        <v>356</v>
      </c>
      <c r="F104" s="5" t="s">
        <v>310</v>
      </c>
      <c r="G104" s="86">
        <v>3.17</v>
      </c>
      <c r="H104" s="33" t="s">
        <v>376</v>
      </c>
    </row>
    <row r="105" spans="1:8" ht="12.75">
      <c r="A105" s="5" t="s">
        <v>97</v>
      </c>
      <c r="B105" s="5" t="s">
        <v>9</v>
      </c>
      <c r="C105" s="5" t="s">
        <v>192</v>
      </c>
      <c r="D105" s="5" t="s">
        <v>268</v>
      </c>
      <c r="E105" s="5" t="s">
        <v>356</v>
      </c>
      <c r="F105" s="5" t="s">
        <v>310</v>
      </c>
      <c r="G105" s="86">
        <v>3.17</v>
      </c>
      <c r="H105" s="33" t="s">
        <v>376</v>
      </c>
    </row>
    <row r="106" spans="1:8" ht="12.75">
      <c r="A106" s="5" t="s">
        <v>98</v>
      </c>
      <c r="B106" s="5" t="s">
        <v>9</v>
      </c>
      <c r="C106" s="5" t="s">
        <v>193</v>
      </c>
      <c r="D106" s="5" t="s">
        <v>270</v>
      </c>
      <c r="E106" s="5" t="s">
        <v>356</v>
      </c>
      <c r="F106" s="5" t="s">
        <v>310</v>
      </c>
      <c r="G106" s="86">
        <v>3.17</v>
      </c>
      <c r="H106" s="33" t="s">
        <v>376</v>
      </c>
    </row>
    <row r="107" spans="1:8" ht="12.75">
      <c r="A107" s="5" t="s">
        <v>99</v>
      </c>
      <c r="B107" s="5" t="s">
        <v>9</v>
      </c>
      <c r="C107" s="5" t="s">
        <v>194</v>
      </c>
      <c r="D107" s="5" t="s">
        <v>271</v>
      </c>
      <c r="E107" s="5" t="s">
        <v>356</v>
      </c>
      <c r="F107" s="5" t="s">
        <v>310</v>
      </c>
      <c r="G107" s="86">
        <v>3.17</v>
      </c>
      <c r="H107" s="33" t="s">
        <v>376</v>
      </c>
    </row>
    <row r="108" spans="1:8" ht="12.75">
      <c r="A108" s="5" t="s">
        <v>100</v>
      </c>
      <c r="B108" s="5" t="s">
        <v>10</v>
      </c>
      <c r="C108" s="5" t="s">
        <v>153</v>
      </c>
      <c r="D108" s="5" t="s">
        <v>204</v>
      </c>
      <c r="E108" s="5" t="s">
        <v>350</v>
      </c>
      <c r="F108" s="5" t="s">
        <v>312</v>
      </c>
      <c r="G108" s="86">
        <v>62.1</v>
      </c>
      <c r="H108" s="33" t="s">
        <v>376</v>
      </c>
    </row>
    <row r="109" spans="1:8" ht="12.75">
      <c r="A109" s="5" t="s">
        <v>101</v>
      </c>
      <c r="B109" s="5" t="s">
        <v>10</v>
      </c>
      <c r="C109" s="5" t="s">
        <v>154</v>
      </c>
      <c r="D109" s="5" t="s">
        <v>207</v>
      </c>
      <c r="E109" s="5" t="s">
        <v>351</v>
      </c>
      <c r="F109" s="5" t="s">
        <v>313</v>
      </c>
      <c r="G109" s="86">
        <v>27.72</v>
      </c>
      <c r="H109" s="33" t="s">
        <v>376</v>
      </c>
    </row>
    <row r="110" spans="1:8" ht="12.75">
      <c r="A110" s="5" t="s">
        <v>102</v>
      </c>
      <c r="B110" s="5" t="s">
        <v>10</v>
      </c>
      <c r="C110" s="5" t="s">
        <v>155</v>
      </c>
      <c r="D110" s="5" t="s">
        <v>209</v>
      </c>
      <c r="E110" s="5" t="s">
        <v>351</v>
      </c>
      <c r="F110" s="5" t="s">
        <v>314</v>
      </c>
      <c r="G110" s="86">
        <v>35.885</v>
      </c>
      <c r="H110" s="33" t="s">
        <v>376</v>
      </c>
    </row>
    <row r="111" spans="1:8" ht="12.75">
      <c r="A111" s="5" t="s">
        <v>103</v>
      </c>
      <c r="B111" s="5" t="s">
        <v>10</v>
      </c>
      <c r="C111" s="5" t="s">
        <v>157</v>
      </c>
      <c r="D111" s="5" t="s">
        <v>212</v>
      </c>
      <c r="E111" s="5" t="s">
        <v>352</v>
      </c>
      <c r="F111" s="5" t="s">
        <v>315</v>
      </c>
      <c r="G111" s="86">
        <v>22</v>
      </c>
      <c r="H111" s="33"/>
    </row>
    <row r="112" spans="1:8" ht="12.75">
      <c r="A112" s="5" t="s">
        <v>104</v>
      </c>
      <c r="B112" s="5" t="s">
        <v>10</v>
      </c>
      <c r="C112" s="5" t="s">
        <v>158</v>
      </c>
      <c r="D112" s="5" t="s">
        <v>215</v>
      </c>
      <c r="E112" s="5" t="s">
        <v>353</v>
      </c>
      <c r="F112" s="5" t="s">
        <v>316</v>
      </c>
      <c r="G112" s="86">
        <v>11</v>
      </c>
      <c r="H112" s="33" t="s">
        <v>376</v>
      </c>
    </row>
    <row r="113" spans="1:8" ht="12.75">
      <c r="A113" s="5" t="s">
        <v>105</v>
      </c>
      <c r="B113" s="5" t="s">
        <v>10</v>
      </c>
      <c r="C113" s="5" t="s">
        <v>159</v>
      </c>
      <c r="D113" s="5" t="s">
        <v>217</v>
      </c>
      <c r="E113" s="5" t="s">
        <v>350</v>
      </c>
      <c r="F113" s="5" t="s">
        <v>317</v>
      </c>
      <c r="G113" s="86">
        <v>80.9</v>
      </c>
      <c r="H113" s="33" t="s">
        <v>376</v>
      </c>
    </row>
    <row r="114" spans="1:8" ht="12.75">
      <c r="A114" s="5" t="s">
        <v>106</v>
      </c>
      <c r="B114" s="5" t="s">
        <v>10</v>
      </c>
      <c r="C114" s="5" t="s">
        <v>161</v>
      </c>
      <c r="D114" s="5" t="s">
        <v>221</v>
      </c>
      <c r="E114" s="5" t="s">
        <v>350</v>
      </c>
      <c r="F114" s="5" t="s">
        <v>318</v>
      </c>
      <c r="G114" s="86">
        <v>11.7</v>
      </c>
      <c r="H114" s="33" t="s">
        <v>376</v>
      </c>
    </row>
    <row r="115" spans="1:8" ht="12.75">
      <c r="A115" s="5" t="s">
        <v>107</v>
      </c>
      <c r="B115" s="5" t="s">
        <v>10</v>
      </c>
      <c r="C115" s="5" t="s">
        <v>163</v>
      </c>
      <c r="D115" s="5" t="s">
        <v>224</v>
      </c>
      <c r="E115" s="5" t="s">
        <v>350</v>
      </c>
      <c r="F115" s="5" t="s">
        <v>319</v>
      </c>
      <c r="G115" s="86">
        <v>20.9</v>
      </c>
      <c r="H115" s="33" t="s">
        <v>376</v>
      </c>
    </row>
    <row r="116" spans="1:8" ht="12.75">
      <c r="A116" s="5" t="s">
        <v>108</v>
      </c>
      <c r="B116" s="5" t="s">
        <v>10</v>
      </c>
      <c r="C116" s="5" t="s">
        <v>164</v>
      </c>
      <c r="D116" s="5" t="s">
        <v>226</v>
      </c>
      <c r="E116" s="5" t="s">
        <v>350</v>
      </c>
      <c r="F116" s="5" t="s">
        <v>319</v>
      </c>
      <c r="G116" s="86">
        <v>20.9</v>
      </c>
      <c r="H116" s="33" t="s">
        <v>376</v>
      </c>
    </row>
    <row r="117" spans="1:8" ht="12.75">
      <c r="A117" s="5" t="s">
        <v>109</v>
      </c>
      <c r="B117" s="5" t="s">
        <v>10</v>
      </c>
      <c r="C117" s="5" t="s">
        <v>167</v>
      </c>
      <c r="D117" s="5" t="s">
        <v>230</v>
      </c>
      <c r="E117" s="5" t="s">
        <v>355</v>
      </c>
      <c r="F117" s="5" t="s">
        <v>15</v>
      </c>
      <c r="G117" s="86">
        <v>9</v>
      </c>
      <c r="H117" s="33"/>
    </row>
    <row r="118" spans="1:8" ht="12.75">
      <c r="A118" s="5" t="s">
        <v>110</v>
      </c>
      <c r="B118" s="5" t="s">
        <v>10</v>
      </c>
      <c r="C118" s="5" t="s">
        <v>167</v>
      </c>
      <c r="D118" s="5" t="s">
        <v>231</v>
      </c>
      <c r="E118" s="5" t="s">
        <v>355</v>
      </c>
      <c r="F118" s="5" t="s">
        <v>8</v>
      </c>
      <c r="G118" s="86">
        <v>2</v>
      </c>
      <c r="H118" s="33"/>
    </row>
    <row r="119" spans="1:8" ht="12.75">
      <c r="A119" s="5" t="s">
        <v>111</v>
      </c>
      <c r="B119" s="5" t="s">
        <v>10</v>
      </c>
      <c r="C119" s="5" t="s">
        <v>174</v>
      </c>
      <c r="D119" s="5" t="s">
        <v>238</v>
      </c>
      <c r="E119" s="5" t="s">
        <v>351</v>
      </c>
      <c r="F119" s="5" t="s">
        <v>320</v>
      </c>
      <c r="G119" s="86">
        <v>27.72</v>
      </c>
      <c r="H119" s="33" t="s">
        <v>376</v>
      </c>
    </row>
    <row r="120" spans="1:8" ht="12.75">
      <c r="A120" s="5" t="s">
        <v>112</v>
      </c>
      <c r="B120" s="5" t="s">
        <v>10</v>
      </c>
      <c r="C120" s="5" t="s">
        <v>175</v>
      </c>
      <c r="D120" s="5" t="s">
        <v>240</v>
      </c>
      <c r="E120" s="5" t="s">
        <v>351</v>
      </c>
      <c r="F120" s="5" t="s">
        <v>320</v>
      </c>
      <c r="G120" s="86">
        <v>27.72</v>
      </c>
      <c r="H120" s="33" t="s">
        <v>376</v>
      </c>
    </row>
    <row r="121" spans="1:8" ht="12.75">
      <c r="A121" s="5" t="s">
        <v>113</v>
      </c>
      <c r="B121" s="5" t="s">
        <v>10</v>
      </c>
      <c r="C121" s="5" t="s">
        <v>177</v>
      </c>
      <c r="D121" s="5" t="s">
        <v>242</v>
      </c>
      <c r="E121" s="5" t="s">
        <v>351</v>
      </c>
      <c r="F121" s="5" t="s">
        <v>321</v>
      </c>
      <c r="G121" s="86">
        <v>26.91</v>
      </c>
      <c r="H121" s="33" t="s">
        <v>376</v>
      </c>
    </row>
    <row r="122" spans="1:8" ht="12.75">
      <c r="A122" s="6" t="s">
        <v>114</v>
      </c>
      <c r="B122" s="6" t="s">
        <v>10</v>
      </c>
      <c r="C122" s="6" t="s">
        <v>178</v>
      </c>
      <c r="D122" s="6" t="s">
        <v>244</v>
      </c>
      <c r="E122" s="6" t="s">
        <v>353</v>
      </c>
      <c r="F122" s="6" t="s">
        <v>15</v>
      </c>
      <c r="G122" s="87">
        <v>9</v>
      </c>
      <c r="H122" s="34" t="s">
        <v>376</v>
      </c>
    </row>
    <row r="123" spans="1:8" ht="12.75">
      <c r="A123" s="5" t="s">
        <v>115</v>
      </c>
      <c r="B123" s="5" t="s">
        <v>10</v>
      </c>
      <c r="C123" s="5" t="s">
        <v>179</v>
      </c>
      <c r="D123" s="5" t="s">
        <v>246</v>
      </c>
      <c r="E123" s="5" t="s">
        <v>353</v>
      </c>
      <c r="F123" s="5" t="s">
        <v>322</v>
      </c>
      <c r="G123" s="86">
        <v>66</v>
      </c>
      <c r="H123" s="33" t="s">
        <v>376</v>
      </c>
    </row>
    <row r="124" spans="1:8" ht="12.75">
      <c r="A124" s="5" t="s">
        <v>116</v>
      </c>
      <c r="B124" s="5" t="s">
        <v>10</v>
      </c>
      <c r="C124" s="5" t="s">
        <v>180</v>
      </c>
      <c r="D124" s="5" t="s">
        <v>248</v>
      </c>
      <c r="E124" s="5" t="s">
        <v>351</v>
      </c>
      <c r="F124" s="5" t="s">
        <v>323</v>
      </c>
      <c r="G124" s="86">
        <v>34.643</v>
      </c>
      <c r="H124" s="33" t="s">
        <v>376</v>
      </c>
    </row>
    <row r="125" spans="1:8" ht="12.75">
      <c r="A125" s="5" t="s">
        <v>117</v>
      </c>
      <c r="B125" s="5" t="s">
        <v>10</v>
      </c>
      <c r="C125" s="5" t="s">
        <v>183</v>
      </c>
      <c r="D125" s="5" t="s">
        <v>254</v>
      </c>
      <c r="E125" s="5" t="s">
        <v>351</v>
      </c>
      <c r="F125" s="5" t="s">
        <v>324</v>
      </c>
      <c r="G125" s="86">
        <v>4.5</v>
      </c>
      <c r="H125" s="33" t="s">
        <v>376</v>
      </c>
    </row>
    <row r="126" spans="1:8" ht="12.75">
      <c r="A126" s="5" t="s">
        <v>118</v>
      </c>
      <c r="B126" s="5" t="s">
        <v>10</v>
      </c>
      <c r="C126" s="5" t="s">
        <v>184</v>
      </c>
      <c r="D126" s="5" t="s">
        <v>256</v>
      </c>
      <c r="E126" s="5" t="s">
        <v>351</v>
      </c>
      <c r="F126" s="5" t="s">
        <v>325</v>
      </c>
      <c r="G126" s="86">
        <v>22.3425</v>
      </c>
      <c r="H126" s="33" t="s">
        <v>376</v>
      </c>
    </row>
    <row r="127" spans="1:8" ht="12.75">
      <c r="A127" s="5" t="s">
        <v>119</v>
      </c>
      <c r="B127" s="5" t="s">
        <v>10</v>
      </c>
      <c r="C127" s="5" t="s">
        <v>195</v>
      </c>
      <c r="D127" s="5" t="s">
        <v>326</v>
      </c>
      <c r="E127" s="5" t="s">
        <v>351</v>
      </c>
      <c r="F127" s="5" t="s">
        <v>7</v>
      </c>
      <c r="G127" s="86">
        <v>1</v>
      </c>
      <c r="H127" s="33" t="s">
        <v>376</v>
      </c>
    </row>
    <row r="128" spans="1:8" ht="12.75">
      <c r="A128" s="5" t="s">
        <v>120</v>
      </c>
      <c r="B128" s="5" t="s">
        <v>10</v>
      </c>
      <c r="C128" s="5" t="s">
        <v>196</v>
      </c>
      <c r="D128" s="5" t="s">
        <v>327</v>
      </c>
      <c r="E128" s="5" t="s">
        <v>353</v>
      </c>
      <c r="F128" s="5" t="s">
        <v>7</v>
      </c>
      <c r="G128" s="86">
        <v>1</v>
      </c>
      <c r="H128" s="33" t="s">
        <v>376</v>
      </c>
    </row>
    <row r="129" spans="1:8" ht="12.75">
      <c r="A129" s="5" t="s">
        <v>121</v>
      </c>
      <c r="B129" s="5" t="s">
        <v>10</v>
      </c>
      <c r="C129" s="5" t="s">
        <v>186</v>
      </c>
      <c r="D129" s="5" t="s">
        <v>259</v>
      </c>
      <c r="E129" s="5" t="s">
        <v>356</v>
      </c>
      <c r="F129" s="5" t="s">
        <v>328</v>
      </c>
      <c r="G129" s="86">
        <v>8.51</v>
      </c>
      <c r="H129" s="33" t="s">
        <v>376</v>
      </c>
    </row>
    <row r="130" spans="1:8" ht="12.75">
      <c r="A130" s="5" t="s">
        <v>122</v>
      </c>
      <c r="B130" s="5" t="s">
        <v>10</v>
      </c>
      <c r="C130" s="5" t="s">
        <v>187</v>
      </c>
      <c r="D130" s="5" t="s">
        <v>261</v>
      </c>
      <c r="E130" s="5" t="s">
        <v>356</v>
      </c>
      <c r="F130" s="5" t="s">
        <v>329</v>
      </c>
      <c r="G130" s="86">
        <v>170.2</v>
      </c>
      <c r="H130" s="33" t="s">
        <v>376</v>
      </c>
    </row>
    <row r="131" spans="1:8" ht="12.75">
      <c r="A131" s="5" t="s">
        <v>123</v>
      </c>
      <c r="B131" s="5" t="s">
        <v>10</v>
      </c>
      <c r="C131" s="5" t="s">
        <v>189</v>
      </c>
      <c r="D131" s="5" t="s">
        <v>263</v>
      </c>
      <c r="E131" s="5" t="s">
        <v>356</v>
      </c>
      <c r="F131" s="5" t="s">
        <v>330</v>
      </c>
      <c r="G131" s="86">
        <v>8.51</v>
      </c>
      <c r="H131" s="33" t="s">
        <v>376</v>
      </c>
    </row>
    <row r="132" spans="1:8" ht="12.75">
      <c r="A132" s="5" t="s">
        <v>124</v>
      </c>
      <c r="B132" s="5" t="s">
        <v>10</v>
      </c>
      <c r="C132" s="5" t="s">
        <v>191</v>
      </c>
      <c r="D132" s="5" t="s">
        <v>266</v>
      </c>
      <c r="E132" s="5" t="s">
        <v>356</v>
      </c>
      <c r="F132" s="5" t="s">
        <v>331</v>
      </c>
      <c r="G132" s="86">
        <v>3.15</v>
      </c>
      <c r="H132" s="33" t="s">
        <v>376</v>
      </c>
    </row>
    <row r="133" spans="1:8" ht="12.75">
      <c r="A133" s="5" t="s">
        <v>125</v>
      </c>
      <c r="B133" s="5" t="s">
        <v>10</v>
      </c>
      <c r="C133" s="5" t="s">
        <v>192</v>
      </c>
      <c r="D133" s="5" t="s">
        <v>268</v>
      </c>
      <c r="E133" s="5" t="s">
        <v>356</v>
      </c>
      <c r="F133" s="5" t="s">
        <v>331</v>
      </c>
      <c r="G133" s="86">
        <v>3.15</v>
      </c>
      <c r="H133" s="33" t="s">
        <v>376</v>
      </c>
    </row>
    <row r="134" spans="1:8" ht="12.75">
      <c r="A134" s="5" t="s">
        <v>126</v>
      </c>
      <c r="B134" s="5" t="s">
        <v>10</v>
      </c>
      <c r="C134" s="5" t="s">
        <v>193</v>
      </c>
      <c r="D134" s="5" t="s">
        <v>270</v>
      </c>
      <c r="E134" s="5" t="s">
        <v>356</v>
      </c>
      <c r="F134" s="5" t="s">
        <v>331</v>
      </c>
      <c r="G134" s="86">
        <v>3.15</v>
      </c>
      <c r="H134" s="33" t="s">
        <v>376</v>
      </c>
    </row>
    <row r="135" spans="1:8" ht="12.75">
      <c r="A135" s="5" t="s">
        <v>127</v>
      </c>
      <c r="B135" s="5" t="s">
        <v>10</v>
      </c>
      <c r="C135" s="5" t="s">
        <v>194</v>
      </c>
      <c r="D135" s="5" t="s">
        <v>271</v>
      </c>
      <c r="E135" s="5" t="s">
        <v>356</v>
      </c>
      <c r="F135" s="5" t="s">
        <v>331</v>
      </c>
      <c r="G135" s="86">
        <v>3.15</v>
      </c>
      <c r="H135" s="33" t="s">
        <v>376</v>
      </c>
    </row>
    <row r="136" spans="1:8" ht="12.75">
      <c r="A136" s="5" t="s">
        <v>128</v>
      </c>
      <c r="B136" s="5" t="s">
        <v>11</v>
      </c>
      <c r="C136" s="5" t="s">
        <v>154</v>
      </c>
      <c r="D136" s="5" t="s">
        <v>207</v>
      </c>
      <c r="E136" s="5" t="s">
        <v>351</v>
      </c>
      <c r="F136" s="5" t="s">
        <v>333</v>
      </c>
      <c r="G136" s="86">
        <v>2.61</v>
      </c>
      <c r="H136" s="33" t="s">
        <v>376</v>
      </c>
    </row>
    <row r="137" spans="1:8" ht="12.75">
      <c r="A137" s="5" t="s">
        <v>129</v>
      </c>
      <c r="B137" s="5" t="s">
        <v>11</v>
      </c>
      <c r="C137" s="5" t="s">
        <v>155</v>
      </c>
      <c r="D137" s="5" t="s">
        <v>209</v>
      </c>
      <c r="E137" s="5" t="s">
        <v>351</v>
      </c>
      <c r="F137" s="5" t="s">
        <v>334</v>
      </c>
      <c r="G137" s="86">
        <v>2.76</v>
      </c>
      <c r="H137" s="33" t="s">
        <v>376</v>
      </c>
    </row>
    <row r="138" spans="1:8" ht="12.75">
      <c r="A138" s="5" t="s">
        <v>130</v>
      </c>
      <c r="B138" s="5" t="s">
        <v>11</v>
      </c>
      <c r="C138" s="5" t="s">
        <v>157</v>
      </c>
      <c r="D138" s="5" t="s">
        <v>212</v>
      </c>
      <c r="E138" s="5" t="s">
        <v>352</v>
      </c>
      <c r="F138" s="5" t="s">
        <v>335</v>
      </c>
      <c r="G138" s="86">
        <v>2</v>
      </c>
      <c r="H138" s="33"/>
    </row>
    <row r="139" spans="1:8" ht="12.75">
      <c r="A139" s="5" t="s">
        <v>131</v>
      </c>
      <c r="B139" s="5" t="s">
        <v>11</v>
      </c>
      <c r="C139" s="5" t="s">
        <v>158</v>
      </c>
      <c r="D139" s="5" t="s">
        <v>215</v>
      </c>
      <c r="E139" s="5" t="s">
        <v>353</v>
      </c>
      <c r="F139" s="5" t="s">
        <v>7</v>
      </c>
      <c r="G139" s="86">
        <v>1</v>
      </c>
      <c r="H139" s="33" t="s">
        <v>376</v>
      </c>
    </row>
    <row r="140" spans="1:8" ht="12.75">
      <c r="A140" s="5" t="s">
        <v>132</v>
      </c>
      <c r="B140" s="5" t="s">
        <v>11</v>
      </c>
      <c r="C140" s="5" t="s">
        <v>159</v>
      </c>
      <c r="D140" s="5" t="s">
        <v>217</v>
      </c>
      <c r="E140" s="5" t="s">
        <v>350</v>
      </c>
      <c r="F140" s="5" t="s">
        <v>336</v>
      </c>
      <c r="G140" s="86">
        <v>6.9</v>
      </c>
      <c r="H140" s="33" t="s">
        <v>376</v>
      </c>
    </row>
    <row r="141" spans="1:8" ht="12.75">
      <c r="A141" s="5" t="s">
        <v>133</v>
      </c>
      <c r="B141" s="5" t="s">
        <v>11</v>
      </c>
      <c r="C141" s="5" t="s">
        <v>161</v>
      </c>
      <c r="D141" s="5" t="s">
        <v>221</v>
      </c>
      <c r="E141" s="5" t="s">
        <v>350</v>
      </c>
      <c r="F141" s="5" t="s">
        <v>337</v>
      </c>
      <c r="G141" s="86">
        <v>1.3</v>
      </c>
      <c r="H141" s="33" t="s">
        <v>376</v>
      </c>
    </row>
    <row r="142" spans="1:8" ht="12.75">
      <c r="A142" s="5" t="s">
        <v>134</v>
      </c>
      <c r="B142" s="5" t="s">
        <v>11</v>
      </c>
      <c r="C142" s="5" t="s">
        <v>163</v>
      </c>
      <c r="D142" s="5" t="s">
        <v>224</v>
      </c>
      <c r="E142" s="5" t="s">
        <v>350</v>
      </c>
      <c r="F142" s="5" t="s">
        <v>338</v>
      </c>
      <c r="G142" s="86">
        <v>1.8</v>
      </c>
      <c r="H142" s="33" t="s">
        <v>376</v>
      </c>
    </row>
    <row r="143" spans="1:8" ht="12.75">
      <c r="A143" s="5" t="s">
        <v>135</v>
      </c>
      <c r="B143" s="5" t="s">
        <v>11</v>
      </c>
      <c r="C143" s="5" t="s">
        <v>164</v>
      </c>
      <c r="D143" s="5" t="s">
        <v>226</v>
      </c>
      <c r="E143" s="5" t="s">
        <v>350</v>
      </c>
      <c r="F143" s="5" t="s">
        <v>338</v>
      </c>
      <c r="G143" s="86">
        <v>1.8</v>
      </c>
      <c r="H143" s="33" t="s">
        <v>376</v>
      </c>
    </row>
    <row r="144" spans="1:8" ht="12.75">
      <c r="A144" s="5" t="s">
        <v>136</v>
      </c>
      <c r="B144" s="5" t="s">
        <v>11</v>
      </c>
      <c r="C144" s="5" t="s">
        <v>167</v>
      </c>
      <c r="D144" s="5" t="s">
        <v>230</v>
      </c>
      <c r="E144" s="5" t="s">
        <v>355</v>
      </c>
      <c r="F144" s="5" t="s">
        <v>7</v>
      </c>
      <c r="G144" s="86">
        <v>1</v>
      </c>
      <c r="H144" s="33"/>
    </row>
    <row r="145" spans="1:8" ht="12.75">
      <c r="A145" s="5" t="s">
        <v>137</v>
      </c>
      <c r="B145" s="5" t="s">
        <v>11</v>
      </c>
      <c r="C145" s="5" t="s">
        <v>174</v>
      </c>
      <c r="D145" s="5" t="s">
        <v>238</v>
      </c>
      <c r="E145" s="5" t="s">
        <v>351</v>
      </c>
      <c r="F145" s="5" t="s">
        <v>339</v>
      </c>
      <c r="G145" s="86">
        <v>2.61</v>
      </c>
      <c r="H145" s="33" t="s">
        <v>376</v>
      </c>
    </row>
    <row r="146" spans="1:8" ht="12.75">
      <c r="A146" s="5" t="s">
        <v>138</v>
      </c>
      <c r="B146" s="5" t="s">
        <v>11</v>
      </c>
      <c r="C146" s="5" t="s">
        <v>175</v>
      </c>
      <c r="D146" s="5" t="s">
        <v>240</v>
      </c>
      <c r="E146" s="5" t="s">
        <v>351</v>
      </c>
      <c r="F146" s="5" t="s">
        <v>339</v>
      </c>
      <c r="G146" s="86">
        <v>2.61</v>
      </c>
      <c r="H146" s="33" t="s">
        <v>376</v>
      </c>
    </row>
    <row r="147" spans="1:8" ht="12.75">
      <c r="A147" s="5" t="s">
        <v>139</v>
      </c>
      <c r="B147" s="5" t="s">
        <v>11</v>
      </c>
      <c r="C147" s="5" t="s">
        <v>179</v>
      </c>
      <c r="D147" s="5" t="s">
        <v>246</v>
      </c>
      <c r="E147" s="5" t="s">
        <v>353</v>
      </c>
      <c r="F147" s="5" t="s">
        <v>12</v>
      </c>
      <c r="G147" s="86">
        <v>6</v>
      </c>
      <c r="H147" s="33" t="s">
        <v>376</v>
      </c>
    </row>
    <row r="148" spans="1:8" ht="12.75">
      <c r="A148" s="5" t="s">
        <v>140</v>
      </c>
      <c r="B148" s="5" t="s">
        <v>11</v>
      </c>
      <c r="C148" s="5" t="s">
        <v>180</v>
      </c>
      <c r="D148" s="5" t="s">
        <v>248</v>
      </c>
      <c r="E148" s="5" t="s">
        <v>351</v>
      </c>
      <c r="F148" s="5" t="s">
        <v>340</v>
      </c>
      <c r="G148" s="86">
        <v>2.622</v>
      </c>
      <c r="H148" s="33" t="s">
        <v>376</v>
      </c>
    </row>
    <row r="149" spans="1:8" ht="12.75">
      <c r="A149" s="5" t="s">
        <v>141</v>
      </c>
      <c r="B149" s="5" t="s">
        <v>11</v>
      </c>
      <c r="C149" s="5" t="s">
        <v>183</v>
      </c>
      <c r="D149" s="5" t="s">
        <v>254</v>
      </c>
      <c r="E149" s="5" t="s">
        <v>351</v>
      </c>
      <c r="F149" s="5" t="s">
        <v>341</v>
      </c>
      <c r="G149" s="86">
        <v>0.5</v>
      </c>
      <c r="H149" s="33" t="s">
        <v>376</v>
      </c>
    </row>
    <row r="150" spans="1:8" ht="12.75">
      <c r="A150" s="5" t="s">
        <v>142</v>
      </c>
      <c r="B150" s="5" t="s">
        <v>11</v>
      </c>
      <c r="C150" s="5" t="s">
        <v>184</v>
      </c>
      <c r="D150" s="5" t="s">
        <v>256</v>
      </c>
      <c r="E150" s="5" t="s">
        <v>351</v>
      </c>
      <c r="F150" s="5" t="s">
        <v>342</v>
      </c>
      <c r="G150" s="86">
        <v>2.0125</v>
      </c>
      <c r="H150" s="33" t="s">
        <v>376</v>
      </c>
    </row>
    <row r="151" spans="1:8" ht="12.75">
      <c r="A151" s="5" t="s">
        <v>143</v>
      </c>
      <c r="B151" s="5" t="s">
        <v>11</v>
      </c>
      <c r="C151" s="5" t="s">
        <v>186</v>
      </c>
      <c r="D151" s="5" t="s">
        <v>259</v>
      </c>
      <c r="E151" s="5" t="s">
        <v>356</v>
      </c>
      <c r="F151" s="5" t="s">
        <v>343</v>
      </c>
      <c r="G151" s="86">
        <v>0.26</v>
      </c>
      <c r="H151" s="33" t="s">
        <v>376</v>
      </c>
    </row>
    <row r="152" spans="1:8" ht="12.75">
      <c r="A152" s="5" t="s">
        <v>144</v>
      </c>
      <c r="B152" s="5" t="s">
        <v>11</v>
      </c>
      <c r="C152" s="5" t="s">
        <v>187</v>
      </c>
      <c r="D152" s="5" t="s">
        <v>261</v>
      </c>
      <c r="E152" s="5" t="s">
        <v>356</v>
      </c>
      <c r="F152" s="5" t="s">
        <v>344</v>
      </c>
      <c r="G152" s="86">
        <v>5.2</v>
      </c>
      <c r="H152" s="33" t="s">
        <v>376</v>
      </c>
    </row>
    <row r="153" spans="1:8" ht="12.75">
      <c r="A153" s="5" t="s">
        <v>145</v>
      </c>
      <c r="B153" s="5" t="s">
        <v>11</v>
      </c>
      <c r="C153" s="5" t="s">
        <v>189</v>
      </c>
      <c r="D153" s="5" t="s">
        <v>263</v>
      </c>
      <c r="E153" s="5" t="s">
        <v>356</v>
      </c>
      <c r="F153" s="5" t="s">
        <v>343</v>
      </c>
      <c r="G153" s="86">
        <v>0.26</v>
      </c>
      <c r="H153" s="33" t="s">
        <v>376</v>
      </c>
    </row>
    <row r="154" spans="1:8" ht="12.75">
      <c r="A154" s="5" t="s">
        <v>146</v>
      </c>
      <c r="B154" s="5" t="s">
        <v>11</v>
      </c>
      <c r="C154" s="5" t="s">
        <v>191</v>
      </c>
      <c r="D154" s="5" t="s">
        <v>266</v>
      </c>
      <c r="E154" s="5" t="s">
        <v>356</v>
      </c>
      <c r="F154" s="5" t="s">
        <v>343</v>
      </c>
      <c r="G154" s="86">
        <v>0.26</v>
      </c>
      <c r="H154" s="33" t="s">
        <v>376</v>
      </c>
    </row>
    <row r="155" spans="1:8" ht="12.75">
      <c r="A155" s="5" t="s">
        <v>147</v>
      </c>
      <c r="B155" s="5" t="s">
        <v>11</v>
      </c>
      <c r="C155" s="5" t="s">
        <v>192</v>
      </c>
      <c r="D155" s="5" t="s">
        <v>268</v>
      </c>
      <c r="E155" s="5" t="s">
        <v>356</v>
      </c>
      <c r="F155" s="5" t="s">
        <v>343</v>
      </c>
      <c r="G155" s="86">
        <v>0.26</v>
      </c>
      <c r="H155" s="33" t="s">
        <v>376</v>
      </c>
    </row>
    <row r="156" spans="1:8" ht="12.75">
      <c r="A156" s="5" t="s">
        <v>148</v>
      </c>
      <c r="B156" s="5" t="s">
        <v>11</v>
      </c>
      <c r="C156" s="5" t="s">
        <v>193</v>
      </c>
      <c r="D156" s="5" t="s">
        <v>270</v>
      </c>
      <c r="E156" s="5" t="s">
        <v>356</v>
      </c>
      <c r="F156" s="5" t="s">
        <v>343</v>
      </c>
      <c r="G156" s="86">
        <v>0.26</v>
      </c>
      <c r="H156" s="33" t="s">
        <v>376</v>
      </c>
    </row>
    <row r="157" spans="1:8" ht="12.75">
      <c r="A157" s="5" t="s">
        <v>149</v>
      </c>
      <c r="B157" s="5" t="s">
        <v>11</v>
      </c>
      <c r="C157" s="5" t="s">
        <v>194</v>
      </c>
      <c r="D157" s="5" t="s">
        <v>271</v>
      </c>
      <c r="E157" s="5" t="s">
        <v>356</v>
      </c>
      <c r="F157" s="5" t="s">
        <v>343</v>
      </c>
      <c r="G157" s="86">
        <v>0.26</v>
      </c>
      <c r="H157" s="33" t="s">
        <v>376</v>
      </c>
    </row>
    <row r="159" ht="11.25" customHeight="1">
      <c r="A159" s="10" t="s">
        <v>150</v>
      </c>
    </row>
    <row r="160" spans="1:7" ht="12.75">
      <c r="A160" s="103"/>
      <c r="B160" s="95"/>
      <c r="C160" s="95"/>
      <c r="D160" s="95"/>
      <c r="E160" s="95"/>
      <c r="F160" s="95"/>
      <c r="G160" s="95"/>
    </row>
  </sheetData>
  <sheetProtection/>
  <mergeCells count="18">
    <mergeCell ref="A160:G160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90" t="s">
        <v>437</v>
      </c>
      <c r="B1" s="91"/>
      <c r="C1" s="91"/>
      <c r="D1" s="91"/>
      <c r="E1" s="91"/>
      <c r="F1" s="91"/>
      <c r="G1" s="91"/>
      <c r="H1" s="91"/>
    </row>
    <row r="2" spans="1:9" ht="12.75">
      <c r="A2" s="92" t="s">
        <v>1</v>
      </c>
      <c r="B2" s="96" t="str">
        <f>'Stavební rozpočet'!D2</f>
        <v>Výměna oken na historické budově </v>
      </c>
      <c r="C2" s="98" t="s">
        <v>345</v>
      </c>
      <c r="D2" s="99" t="str">
        <f>'Stavební rozpočet'!G2</f>
        <v> </v>
      </c>
      <c r="E2" s="93"/>
      <c r="F2" s="99" t="s">
        <v>364</v>
      </c>
      <c r="G2" s="99" t="str">
        <f>'Stavební rozpočet'!J2</f>
        <v>Střední vinařská škola Valtice</v>
      </c>
      <c r="H2" s="100"/>
      <c r="I2" s="35"/>
    </row>
    <row r="3" spans="1:9" ht="12.75">
      <c r="A3" s="94"/>
      <c r="B3" s="97"/>
      <c r="C3" s="95"/>
      <c r="D3" s="95"/>
      <c r="E3" s="95"/>
      <c r="F3" s="95"/>
      <c r="G3" s="95"/>
      <c r="H3" s="101"/>
      <c r="I3" s="35"/>
    </row>
    <row r="4" spans="1:9" ht="12.75">
      <c r="A4" s="102" t="s">
        <v>2</v>
      </c>
      <c r="B4" s="103" t="str">
        <f>'Stavební rozpočet'!D4</f>
        <v>školství</v>
      </c>
      <c r="C4" s="104" t="s">
        <v>346</v>
      </c>
      <c r="D4" s="103" t="str">
        <f>'Stavební rozpočet'!G4</f>
        <v> </v>
      </c>
      <c r="E4" s="95"/>
      <c r="F4" s="103" t="s">
        <v>365</v>
      </c>
      <c r="G4" s="103" t="str">
        <f>'Stavební rozpočet'!J4</f>
        <v>Ing.Zbyněk Rabušic</v>
      </c>
      <c r="H4" s="101"/>
      <c r="I4" s="35"/>
    </row>
    <row r="5" spans="1:9" ht="12.75">
      <c r="A5" s="94"/>
      <c r="B5" s="95"/>
      <c r="C5" s="95"/>
      <c r="D5" s="95"/>
      <c r="E5" s="95"/>
      <c r="F5" s="95"/>
      <c r="G5" s="95"/>
      <c r="H5" s="101"/>
      <c r="I5" s="35"/>
    </row>
    <row r="6" spans="1:9" ht="12.75">
      <c r="A6" s="102" t="s">
        <v>3</v>
      </c>
      <c r="B6" s="103" t="str">
        <f>'Stavební rozpočet'!D6</f>
        <v>Sobotní 116, Valtice </v>
      </c>
      <c r="C6" s="104" t="s">
        <v>347</v>
      </c>
      <c r="D6" s="103" t="str">
        <f>'Stavební rozpočet'!G6</f>
        <v> </v>
      </c>
      <c r="E6" s="95"/>
      <c r="F6" s="103" t="s">
        <v>366</v>
      </c>
      <c r="G6" s="103" t="str">
        <f>'Stavební rozpočet'!J6</f>
        <v>dle výběrového řízení</v>
      </c>
      <c r="H6" s="101"/>
      <c r="I6" s="35"/>
    </row>
    <row r="7" spans="1:9" ht="12.75">
      <c r="A7" s="94"/>
      <c r="B7" s="95"/>
      <c r="C7" s="95"/>
      <c r="D7" s="95"/>
      <c r="E7" s="95"/>
      <c r="F7" s="95"/>
      <c r="G7" s="95"/>
      <c r="H7" s="101"/>
      <c r="I7" s="35"/>
    </row>
    <row r="8" spans="1:9" ht="12.75">
      <c r="A8" s="102" t="s">
        <v>4</v>
      </c>
      <c r="B8" s="103" t="str">
        <f>'Stavební rozpočet'!D8</f>
        <v>  </v>
      </c>
      <c r="C8" s="104" t="s">
        <v>348</v>
      </c>
      <c r="D8" s="103" t="str">
        <f>'Stavební rozpočet'!G8</f>
        <v>04.09.2018</v>
      </c>
      <c r="E8" s="95"/>
      <c r="F8" s="103" t="s">
        <v>367</v>
      </c>
      <c r="G8" s="103" t="str">
        <f>'Stavební rozpočet'!J8</f>
        <v>Ing.Zbyněk Rabušic</v>
      </c>
      <c r="H8" s="101"/>
      <c r="I8" s="35"/>
    </row>
    <row r="9" spans="1:9" ht="12.75">
      <c r="A9" s="110"/>
      <c r="B9" s="111"/>
      <c r="C9" s="111"/>
      <c r="D9" s="111"/>
      <c r="E9" s="111"/>
      <c r="F9" s="111"/>
      <c r="G9" s="111"/>
      <c r="H9" s="112"/>
      <c r="I9" s="35"/>
    </row>
    <row r="10" spans="1:9" ht="12.75">
      <c r="A10" s="45" t="s">
        <v>152</v>
      </c>
      <c r="B10" s="46" t="s">
        <v>200</v>
      </c>
      <c r="C10" s="53" t="s">
        <v>438</v>
      </c>
      <c r="D10" s="53" t="s">
        <v>439</v>
      </c>
      <c r="E10" s="53" t="s">
        <v>440</v>
      </c>
      <c r="F10" s="113" t="s">
        <v>441</v>
      </c>
      <c r="G10" s="114"/>
      <c r="H10" s="115"/>
      <c r="I10" s="36"/>
    </row>
    <row r="11" spans="1:8" ht="11.25" customHeight="1">
      <c r="A11" s="55" t="s">
        <v>150</v>
      </c>
      <c r="B11" s="56"/>
      <c r="C11" s="56"/>
      <c r="D11" s="56"/>
      <c r="E11" s="56"/>
      <c r="F11" s="56"/>
      <c r="G11" s="56"/>
      <c r="H11" s="56"/>
    </row>
    <row r="12" spans="1:8" ht="12.75">
      <c r="A12" s="103"/>
      <c r="B12" s="95"/>
      <c r="C12" s="95"/>
      <c r="D12" s="95"/>
      <c r="E12" s="95"/>
      <c r="F12" s="95"/>
      <c r="G12" s="95"/>
      <c r="H12" s="95"/>
    </row>
  </sheetData>
  <sheetProtection/>
  <mergeCells count="27">
    <mergeCell ref="F10:H10"/>
    <mergeCell ref="A12:H12"/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90" t="s">
        <v>442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6" ht="12.75">
      <c r="A2" s="92" t="s">
        <v>1</v>
      </c>
      <c r="B2" s="96" t="str">
        <f>'Stavební rozpočet'!D2</f>
        <v>Výměna oken na historické budově </v>
      </c>
      <c r="C2" s="109"/>
      <c r="D2" s="109"/>
      <c r="E2" s="98" t="s">
        <v>345</v>
      </c>
      <c r="F2" s="99" t="str">
        <f>'Stavební rozpočet'!G2</f>
        <v> </v>
      </c>
      <c r="G2" s="99" t="s">
        <v>364</v>
      </c>
      <c r="H2" s="99" t="str">
        <f>'Stavební rozpočet'!J2</f>
        <v>Střední vinařská škola Valtice</v>
      </c>
      <c r="I2" s="93"/>
      <c r="J2" s="93"/>
      <c r="K2" s="93"/>
      <c r="L2" s="93"/>
      <c r="M2" s="93"/>
      <c r="N2" s="93"/>
      <c r="O2" s="100"/>
      <c r="P2" s="35"/>
    </row>
    <row r="3" spans="1:16" ht="12.75">
      <c r="A3" s="94"/>
      <c r="B3" s="97"/>
      <c r="C3" s="97"/>
      <c r="D3" s="97"/>
      <c r="E3" s="95"/>
      <c r="F3" s="95"/>
      <c r="G3" s="95"/>
      <c r="H3" s="95"/>
      <c r="I3" s="95"/>
      <c r="J3" s="95"/>
      <c r="K3" s="95"/>
      <c r="L3" s="95"/>
      <c r="M3" s="95"/>
      <c r="N3" s="95"/>
      <c r="O3" s="101"/>
      <c r="P3" s="35"/>
    </row>
    <row r="4" spans="1:16" ht="12.75">
      <c r="A4" s="102" t="s">
        <v>2</v>
      </c>
      <c r="B4" s="103" t="str">
        <f>'Stavební rozpočet'!D4</f>
        <v>školství</v>
      </c>
      <c r="C4" s="95"/>
      <c r="D4" s="95"/>
      <c r="E4" s="104" t="s">
        <v>346</v>
      </c>
      <c r="F4" s="103" t="str">
        <f>'Stavební rozpočet'!G4</f>
        <v> </v>
      </c>
      <c r="G4" s="103" t="s">
        <v>365</v>
      </c>
      <c r="H4" s="103" t="str">
        <f>'Stavební rozpočet'!J4</f>
        <v>Ing.Zbyněk Rabušic</v>
      </c>
      <c r="I4" s="95"/>
      <c r="J4" s="95"/>
      <c r="K4" s="95"/>
      <c r="L4" s="95"/>
      <c r="M4" s="95"/>
      <c r="N4" s="95"/>
      <c r="O4" s="101"/>
      <c r="P4" s="35"/>
    </row>
    <row r="5" spans="1:16" ht="12.7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01"/>
      <c r="P5" s="35"/>
    </row>
    <row r="6" spans="1:16" ht="12.75">
      <c r="A6" s="102" t="s">
        <v>3</v>
      </c>
      <c r="B6" s="103" t="str">
        <f>'Stavební rozpočet'!D6</f>
        <v>Sobotní 116, Valtice </v>
      </c>
      <c r="C6" s="95"/>
      <c r="D6" s="95"/>
      <c r="E6" s="104" t="s">
        <v>347</v>
      </c>
      <c r="F6" s="103" t="str">
        <f>'Stavební rozpočet'!G6</f>
        <v> </v>
      </c>
      <c r="G6" s="103" t="s">
        <v>366</v>
      </c>
      <c r="H6" s="103" t="str">
        <f>'Stavební rozpočet'!J6</f>
        <v>dle výběrového řízení</v>
      </c>
      <c r="I6" s="95"/>
      <c r="J6" s="95"/>
      <c r="K6" s="95"/>
      <c r="L6" s="95"/>
      <c r="M6" s="95"/>
      <c r="N6" s="95"/>
      <c r="O6" s="101"/>
      <c r="P6" s="35"/>
    </row>
    <row r="7" spans="1:16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101"/>
      <c r="P7" s="35"/>
    </row>
    <row r="8" spans="1:16" ht="12.75">
      <c r="A8" s="102" t="s">
        <v>4</v>
      </c>
      <c r="B8" s="103" t="str">
        <f>'Stavební rozpočet'!D8</f>
        <v>  </v>
      </c>
      <c r="C8" s="95"/>
      <c r="D8" s="95"/>
      <c r="E8" s="104" t="s">
        <v>348</v>
      </c>
      <c r="F8" s="103" t="str">
        <f>'Stavební rozpočet'!G8</f>
        <v>04.09.2018</v>
      </c>
      <c r="G8" s="103" t="s">
        <v>367</v>
      </c>
      <c r="H8" s="103" t="str">
        <f>'Stavební rozpočet'!J8</f>
        <v>Ing.Zbyněk Rabušic</v>
      </c>
      <c r="I8" s="95"/>
      <c r="J8" s="95"/>
      <c r="K8" s="95"/>
      <c r="L8" s="95"/>
      <c r="M8" s="95"/>
      <c r="N8" s="95"/>
      <c r="O8" s="101"/>
      <c r="P8" s="35"/>
    </row>
    <row r="9" spans="1:16" ht="12.7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35"/>
    </row>
    <row r="10" spans="1:16" ht="12.75">
      <c r="A10" s="57" t="s">
        <v>5</v>
      </c>
      <c r="B10" s="57" t="s">
        <v>151</v>
      </c>
      <c r="C10" s="45" t="s">
        <v>152</v>
      </c>
      <c r="D10" s="116" t="s">
        <v>200</v>
      </c>
      <c r="E10" s="117"/>
      <c r="F10" s="53" t="s">
        <v>443</v>
      </c>
      <c r="G10" s="53" t="s">
        <v>444</v>
      </c>
      <c r="H10" s="53" t="s">
        <v>445</v>
      </c>
      <c r="I10" s="53" t="s">
        <v>446</v>
      </c>
      <c r="J10" s="53" t="s">
        <v>357</v>
      </c>
      <c r="K10" s="53" t="s">
        <v>447</v>
      </c>
      <c r="L10" s="58" t="s">
        <v>448</v>
      </c>
      <c r="M10" s="61" t="s">
        <v>449</v>
      </c>
      <c r="N10" s="53" t="s">
        <v>450</v>
      </c>
      <c r="O10" s="58" t="s">
        <v>451</v>
      </c>
      <c r="P10" s="36"/>
    </row>
    <row r="11" spans="1:31" ht="12.75">
      <c r="A11" s="13"/>
      <c r="B11" s="13" t="s">
        <v>7</v>
      </c>
      <c r="C11" s="13"/>
      <c r="D11" s="118" t="s">
        <v>202</v>
      </c>
      <c r="E11" s="119"/>
      <c r="F11" s="39">
        <f>F12+F14+F17+F19+F24+F27+F34+F37+F40+F43+F50+F53+F55</f>
        <v>0</v>
      </c>
      <c r="G11" s="39">
        <f>G12+G14+G17+G19+G24+G27+G34+G37+G40+G43+G50+G53+G55</f>
        <v>0</v>
      </c>
      <c r="H11" s="39">
        <f aca="true" t="shared" si="0" ref="H11:H74">G11-F11</f>
        <v>0</v>
      </c>
      <c r="I11" s="39">
        <f aca="true" t="shared" si="1" ref="I11:I74">IF(F11=0,0,H11/F11*100)</f>
        <v>0</v>
      </c>
      <c r="J11" s="39">
        <f>J12+J14+J17+J19+J24+J27+J34+J37+J40+J43+J50+J53+J55</f>
        <v>1846.0225</v>
      </c>
      <c r="K11" s="39">
        <f>K12+K14+K17+K19+K24+K27+K34+K37+K40+K43+K50+K53+K55</f>
        <v>0</v>
      </c>
      <c r="L11" s="62">
        <f>J11-K11</f>
        <v>1846.0225</v>
      </c>
      <c r="M11" s="65" t="str">
        <f aca="true" t="shared" si="2" ref="M11:M74">IF(G11=0,"Nefakturováno",AE11)</f>
        <v>Nefakturováno</v>
      </c>
      <c r="N11" s="39">
        <f aca="true" t="shared" si="3" ref="N11:N74">AE11-G11</f>
        <v>0</v>
      </c>
      <c r="O11" s="39">
        <f aca="true" t="shared" si="4" ref="O11:O74">IF(G11&lt;&gt;0,N11/G11*100,-100)</f>
        <v>-100</v>
      </c>
      <c r="AE11" s="37">
        <v>0</v>
      </c>
    </row>
    <row r="12" spans="1:31" ht="12.75">
      <c r="A12" s="14"/>
      <c r="B12" s="14" t="s">
        <v>7</v>
      </c>
      <c r="C12" s="14" t="s">
        <v>40</v>
      </c>
      <c r="D12" s="120" t="s">
        <v>203</v>
      </c>
      <c r="E12" s="121"/>
      <c r="F12" s="40">
        <f>SUM(F13:F13)</f>
        <v>0</v>
      </c>
      <c r="G12" s="40">
        <f>SUM(G13:G13)</f>
        <v>0</v>
      </c>
      <c r="H12" s="40">
        <f t="shared" si="0"/>
        <v>0</v>
      </c>
      <c r="I12" s="40">
        <f t="shared" si="1"/>
        <v>0</v>
      </c>
      <c r="J12" s="40">
        <f>SUM(J13:J13)</f>
        <v>172.5</v>
      </c>
      <c r="K12" s="40">
        <f>SUM(K13:K13)</f>
        <v>0</v>
      </c>
      <c r="L12" s="63">
        <f>J12-K12</f>
        <v>172.5</v>
      </c>
      <c r="M12" s="66" t="str">
        <f t="shared" si="2"/>
        <v>Nefakturováno</v>
      </c>
      <c r="N12" s="40">
        <f t="shared" si="3"/>
        <v>0</v>
      </c>
      <c r="O12" s="40">
        <f t="shared" si="4"/>
        <v>-100</v>
      </c>
      <c r="AE12" s="37">
        <v>0</v>
      </c>
    </row>
    <row r="13" spans="1:31" ht="12.75">
      <c r="A13" s="5" t="s">
        <v>7</v>
      </c>
      <c r="B13" s="5" t="s">
        <v>7</v>
      </c>
      <c r="C13" s="5" t="s">
        <v>153</v>
      </c>
      <c r="D13" s="122" t="s">
        <v>204</v>
      </c>
      <c r="E13" s="123"/>
      <c r="F13" s="21">
        <f>'Stavební rozpočet'!J14</f>
        <v>0</v>
      </c>
      <c r="G13" s="21">
        <v>0</v>
      </c>
      <c r="H13" s="21">
        <f t="shared" si="0"/>
        <v>0</v>
      </c>
      <c r="I13" s="21">
        <f t="shared" si="1"/>
        <v>0</v>
      </c>
      <c r="J13" s="21">
        <f>'Stavební rozpočet'!F14</f>
        <v>172.5</v>
      </c>
      <c r="K13" s="21">
        <v>0</v>
      </c>
      <c r="L13" s="59">
        <v>172.5</v>
      </c>
      <c r="M13" s="67" t="str">
        <f t="shared" si="2"/>
        <v>Nefakturováno</v>
      </c>
      <c r="N13" s="21">
        <f t="shared" si="3"/>
        <v>0</v>
      </c>
      <c r="O13" s="21">
        <f t="shared" si="4"/>
        <v>-100</v>
      </c>
      <c r="AE13" s="21">
        <v>0</v>
      </c>
    </row>
    <row r="14" spans="1:31" ht="12.75">
      <c r="A14" s="14"/>
      <c r="B14" s="14" t="s">
        <v>7</v>
      </c>
      <c r="C14" s="14" t="s">
        <v>67</v>
      </c>
      <c r="D14" s="120" t="s">
        <v>206</v>
      </c>
      <c r="E14" s="121"/>
      <c r="F14" s="40">
        <f>SUM(F15:F16)</f>
        <v>0</v>
      </c>
      <c r="G14" s="40">
        <f>SUM(G15:G16)</f>
        <v>0</v>
      </c>
      <c r="H14" s="40">
        <f t="shared" si="0"/>
        <v>0</v>
      </c>
      <c r="I14" s="40">
        <f t="shared" si="1"/>
        <v>0</v>
      </c>
      <c r="J14" s="40">
        <f>SUM(J15:J16)</f>
        <v>153.79500000000002</v>
      </c>
      <c r="K14" s="40">
        <f>SUM(K15:K16)</f>
        <v>0</v>
      </c>
      <c r="L14" s="63">
        <f>J14-K14</f>
        <v>153.79500000000002</v>
      </c>
      <c r="M14" s="66" t="str">
        <f t="shared" si="2"/>
        <v>Nefakturováno</v>
      </c>
      <c r="N14" s="40">
        <f t="shared" si="3"/>
        <v>0</v>
      </c>
      <c r="O14" s="40">
        <f t="shared" si="4"/>
        <v>-100</v>
      </c>
      <c r="AE14" s="21">
        <v>0</v>
      </c>
    </row>
    <row r="15" spans="1:31" ht="12.75">
      <c r="A15" s="5" t="s">
        <v>8</v>
      </c>
      <c r="B15" s="5" t="s">
        <v>7</v>
      </c>
      <c r="C15" s="5" t="s">
        <v>154</v>
      </c>
      <c r="D15" s="122" t="s">
        <v>207</v>
      </c>
      <c r="E15" s="123"/>
      <c r="F15" s="21">
        <f>'Stavební rozpočet'!J17</f>
        <v>0</v>
      </c>
      <c r="G15" s="21">
        <v>0</v>
      </c>
      <c r="H15" s="21">
        <f t="shared" si="0"/>
        <v>0</v>
      </c>
      <c r="I15" s="21">
        <f t="shared" si="1"/>
        <v>0</v>
      </c>
      <c r="J15" s="21">
        <f>'Stavební rozpočet'!F17</f>
        <v>69.63</v>
      </c>
      <c r="K15" s="21">
        <v>0</v>
      </c>
      <c r="L15" s="59">
        <v>69.63</v>
      </c>
      <c r="M15" s="67" t="str">
        <f t="shared" si="2"/>
        <v>Nefakturováno</v>
      </c>
      <c r="N15" s="21">
        <f t="shared" si="3"/>
        <v>0</v>
      </c>
      <c r="O15" s="21">
        <f t="shared" si="4"/>
        <v>-100</v>
      </c>
      <c r="AE15" s="21">
        <v>0</v>
      </c>
    </row>
    <row r="16" spans="1:31" ht="12.75">
      <c r="A16" s="5" t="s">
        <v>9</v>
      </c>
      <c r="B16" s="5" t="s">
        <v>7</v>
      </c>
      <c r="C16" s="5" t="s">
        <v>155</v>
      </c>
      <c r="D16" s="122" t="s">
        <v>209</v>
      </c>
      <c r="E16" s="123"/>
      <c r="F16" s="21">
        <f>'Stavební rozpočet'!J19</f>
        <v>0</v>
      </c>
      <c r="G16" s="21">
        <v>0</v>
      </c>
      <c r="H16" s="21">
        <f t="shared" si="0"/>
        <v>0</v>
      </c>
      <c r="I16" s="21">
        <f t="shared" si="1"/>
        <v>0</v>
      </c>
      <c r="J16" s="21">
        <f>'Stavební rozpočet'!F19</f>
        <v>84.165</v>
      </c>
      <c r="K16" s="21">
        <v>0</v>
      </c>
      <c r="L16" s="59">
        <v>84.165</v>
      </c>
      <c r="M16" s="67" t="str">
        <f t="shared" si="2"/>
        <v>Nefakturováno</v>
      </c>
      <c r="N16" s="21">
        <f t="shared" si="3"/>
        <v>0</v>
      </c>
      <c r="O16" s="21">
        <f t="shared" si="4"/>
        <v>-100</v>
      </c>
      <c r="AE16" s="21">
        <v>0</v>
      </c>
    </row>
    <row r="17" spans="1:31" ht="12.75">
      <c r="A17" s="14"/>
      <c r="B17" s="14" t="s">
        <v>7</v>
      </c>
      <c r="C17" s="14" t="s">
        <v>156</v>
      </c>
      <c r="D17" s="120" t="s">
        <v>211</v>
      </c>
      <c r="E17" s="121"/>
      <c r="F17" s="40">
        <f>SUM(F18:F18)</f>
        <v>0</v>
      </c>
      <c r="G17" s="40">
        <f>SUM(G18:G18)</f>
        <v>0</v>
      </c>
      <c r="H17" s="40">
        <f t="shared" si="0"/>
        <v>0</v>
      </c>
      <c r="I17" s="40">
        <f t="shared" si="1"/>
        <v>0</v>
      </c>
      <c r="J17" s="40">
        <f>SUM(J18:J18)</f>
        <v>56</v>
      </c>
      <c r="K17" s="40">
        <f>SUM(K18:K18)</f>
        <v>0</v>
      </c>
      <c r="L17" s="63">
        <f>J17-K17</f>
        <v>56</v>
      </c>
      <c r="M17" s="66" t="str">
        <f t="shared" si="2"/>
        <v>Nefakturováno</v>
      </c>
      <c r="N17" s="40">
        <f t="shared" si="3"/>
        <v>0</v>
      </c>
      <c r="O17" s="40">
        <f t="shared" si="4"/>
        <v>-100</v>
      </c>
      <c r="AE17" s="21">
        <v>0</v>
      </c>
    </row>
    <row r="18" spans="1:31" ht="12.75">
      <c r="A18" s="5" t="s">
        <v>10</v>
      </c>
      <c r="B18" s="5" t="s">
        <v>7</v>
      </c>
      <c r="C18" s="5" t="s">
        <v>157</v>
      </c>
      <c r="D18" s="122" t="s">
        <v>212</v>
      </c>
      <c r="E18" s="123"/>
      <c r="F18" s="21">
        <f>'Stavební rozpočet'!J22</f>
        <v>0</v>
      </c>
      <c r="G18" s="21">
        <v>0</v>
      </c>
      <c r="H18" s="21">
        <f t="shared" si="0"/>
        <v>0</v>
      </c>
      <c r="I18" s="21">
        <f t="shared" si="1"/>
        <v>0</v>
      </c>
      <c r="J18" s="21">
        <f>'Stavební rozpočet'!F22</f>
        <v>56</v>
      </c>
      <c r="K18" s="21">
        <v>0</v>
      </c>
      <c r="L18" s="59">
        <v>56</v>
      </c>
      <c r="M18" s="67" t="str">
        <f t="shared" si="2"/>
        <v>Nefakturováno</v>
      </c>
      <c r="N18" s="21">
        <f t="shared" si="3"/>
        <v>0</v>
      </c>
      <c r="O18" s="21">
        <f t="shared" si="4"/>
        <v>-100</v>
      </c>
      <c r="AE18" s="21">
        <v>0</v>
      </c>
    </row>
    <row r="19" spans="1:31" ht="12.75">
      <c r="A19" s="14"/>
      <c r="B19" s="14" t="s">
        <v>7</v>
      </c>
      <c r="C19" s="14" t="s">
        <v>70</v>
      </c>
      <c r="D19" s="120" t="s">
        <v>214</v>
      </c>
      <c r="E19" s="121"/>
      <c r="F19" s="40">
        <f>SUM(F20:F23)</f>
        <v>0</v>
      </c>
      <c r="G19" s="40">
        <f>SUM(G20:G23)</f>
        <v>0</v>
      </c>
      <c r="H19" s="40">
        <f t="shared" si="0"/>
        <v>0</v>
      </c>
      <c r="I19" s="40">
        <f t="shared" si="1"/>
        <v>0</v>
      </c>
      <c r="J19" s="40">
        <f>SUM(J20:J23)</f>
        <v>248.95</v>
      </c>
      <c r="K19" s="40">
        <f>SUM(K20:K23)</f>
        <v>0</v>
      </c>
      <c r="L19" s="63">
        <f>J19-K19</f>
        <v>248.95</v>
      </c>
      <c r="M19" s="66" t="str">
        <f t="shared" si="2"/>
        <v>Nefakturováno</v>
      </c>
      <c r="N19" s="40">
        <f t="shared" si="3"/>
        <v>0</v>
      </c>
      <c r="O19" s="40">
        <f t="shared" si="4"/>
        <v>-100</v>
      </c>
      <c r="AE19" s="21">
        <v>0</v>
      </c>
    </row>
    <row r="20" spans="1:31" ht="12.75">
      <c r="A20" s="5" t="s">
        <v>11</v>
      </c>
      <c r="B20" s="5" t="s">
        <v>7</v>
      </c>
      <c r="C20" s="5" t="s">
        <v>158</v>
      </c>
      <c r="D20" s="122" t="s">
        <v>215</v>
      </c>
      <c r="E20" s="123"/>
      <c r="F20" s="21">
        <f>'Stavební rozpočet'!J25</f>
        <v>0</v>
      </c>
      <c r="G20" s="21">
        <v>0</v>
      </c>
      <c r="H20" s="21">
        <f t="shared" si="0"/>
        <v>0</v>
      </c>
      <c r="I20" s="21">
        <f t="shared" si="1"/>
        <v>0</v>
      </c>
      <c r="J20" s="21">
        <f>'Stavební rozpočet'!F25</f>
        <v>26</v>
      </c>
      <c r="K20" s="21">
        <v>0</v>
      </c>
      <c r="L20" s="59">
        <v>26</v>
      </c>
      <c r="M20" s="67" t="str">
        <f t="shared" si="2"/>
        <v>Nefakturováno</v>
      </c>
      <c r="N20" s="21">
        <f t="shared" si="3"/>
        <v>0</v>
      </c>
      <c r="O20" s="21">
        <f t="shared" si="4"/>
        <v>-100</v>
      </c>
      <c r="AE20" s="21">
        <v>0</v>
      </c>
    </row>
    <row r="21" spans="1:31" ht="12.75">
      <c r="A21" s="5" t="s">
        <v>12</v>
      </c>
      <c r="B21" s="5" t="s">
        <v>7</v>
      </c>
      <c r="C21" s="5" t="s">
        <v>159</v>
      </c>
      <c r="D21" s="122" t="s">
        <v>217</v>
      </c>
      <c r="E21" s="123"/>
      <c r="F21" s="21">
        <f>'Stavební rozpočet'!J27</f>
        <v>0</v>
      </c>
      <c r="G21" s="21">
        <v>0</v>
      </c>
      <c r="H21" s="21">
        <f t="shared" si="0"/>
        <v>0</v>
      </c>
      <c r="I21" s="21">
        <f t="shared" si="1"/>
        <v>0</v>
      </c>
      <c r="J21" s="21">
        <f>'Stavební rozpočet'!F27</f>
        <v>189.45</v>
      </c>
      <c r="K21" s="21">
        <v>0</v>
      </c>
      <c r="L21" s="59">
        <v>189.45</v>
      </c>
      <c r="M21" s="67" t="str">
        <f t="shared" si="2"/>
        <v>Nefakturováno</v>
      </c>
      <c r="N21" s="21">
        <f t="shared" si="3"/>
        <v>0</v>
      </c>
      <c r="O21" s="21">
        <f t="shared" si="4"/>
        <v>-100</v>
      </c>
      <c r="AE21" s="21">
        <v>0</v>
      </c>
    </row>
    <row r="22" spans="1:31" ht="12.75">
      <c r="A22" s="5" t="s">
        <v>13</v>
      </c>
      <c r="B22" s="5" t="s">
        <v>7</v>
      </c>
      <c r="C22" s="5" t="s">
        <v>160</v>
      </c>
      <c r="D22" s="122" t="s">
        <v>220</v>
      </c>
      <c r="E22" s="123"/>
      <c r="F22" s="21">
        <f>'Stavební rozpočet'!J30</f>
        <v>0</v>
      </c>
      <c r="G22" s="21">
        <v>0</v>
      </c>
      <c r="H22" s="21">
        <f t="shared" si="0"/>
        <v>0</v>
      </c>
      <c r="I22" s="21">
        <f t="shared" si="1"/>
        <v>0</v>
      </c>
      <c r="J22" s="21">
        <f>'Stavební rozpočet'!F30</f>
        <v>1</v>
      </c>
      <c r="K22" s="21">
        <v>0</v>
      </c>
      <c r="L22" s="59">
        <v>1</v>
      </c>
      <c r="M22" s="67" t="str">
        <f t="shared" si="2"/>
        <v>Nefakturováno</v>
      </c>
      <c r="N22" s="21">
        <f t="shared" si="3"/>
        <v>0</v>
      </c>
      <c r="O22" s="21">
        <f t="shared" si="4"/>
        <v>-100</v>
      </c>
      <c r="AE22" s="21">
        <v>0</v>
      </c>
    </row>
    <row r="23" spans="1:31" ht="12.75">
      <c r="A23" s="5" t="s">
        <v>14</v>
      </c>
      <c r="B23" s="5" t="s">
        <v>7</v>
      </c>
      <c r="C23" s="5" t="s">
        <v>161</v>
      </c>
      <c r="D23" s="122" t="s">
        <v>221</v>
      </c>
      <c r="E23" s="123"/>
      <c r="F23" s="21">
        <f>'Stavební rozpočet'!J32</f>
        <v>0</v>
      </c>
      <c r="G23" s="21">
        <v>0</v>
      </c>
      <c r="H23" s="21">
        <f t="shared" si="0"/>
        <v>0</v>
      </c>
      <c r="I23" s="21">
        <f t="shared" si="1"/>
        <v>0</v>
      </c>
      <c r="J23" s="21">
        <f>'Stavební rozpočet'!F32</f>
        <v>32.5</v>
      </c>
      <c r="K23" s="21">
        <v>0</v>
      </c>
      <c r="L23" s="59">
        <v>32.5</v>
      </c>
      <c r="M23" s="67" t="str">
        <f t="shared" si="2"/>
        <v>Nefakturováno</v>
      </c>
      <c r="N23" s="21">
        <f t="shared" si="3"/>
        <v>0</v>
      </c>
      <c r="O23" s="21">
        <f t="shared" si="4"/>
        <v>-100</v>
      </c>
      <c r="AE23" s="21">
        <v>0</v>
      </c>
    </row>
    <row r="24" spans="1:31" ht="12.75">
      <c r="A24" s="14"/>
      <c r="B24" s="14" t="s">
        <v>7</v>
      </c>
      <c r="C24" s="14" t="s">
        <v>162</v>
      </c>
      <c r="D24" s="120" t="s">
        <v>223</v>
      </c>
      <c r="E24" s="121"/>
      <c r="F24" s="40">
        <f>SUM(F25:F26)</f>
        <v>0</v>
      </c>
      <c r="G24" s="40">
        <f>SUM(G25:G26)</f>
        <v>0</v>
      </c>
      <c r="H24" s="40">
        <f t="shared" si="0"/>
        <v>0</v>
      </c>
      <c r="I24" s="40">
        <f t="shared" si="1"/>
        <v>0</v>
      </c>
      <c r="J24" s="40">
        <f>SUM(J25:J26)</f>
        <v>94.7</v>
      </c>
      <c r="K24" s="40">
        <f>SUM(K25:K26)</f>
        <v>0</v>
      </c>
      <c r="L24" s="63">
        <f>J24-K24</f>
        <v>94.7</v>
      </c>
      <c r="M24" s="66" t="str">
        <f t="shared" si="2"/>
        <v>Nefakturováno</v>
      </c>
      <c r="N24" s="40">
        <f t="shared" si="3"/>
        <v>0</v>
      </c>
      <c r="O24" s="40">
        <f t="shared" si="4"/>
        <v>-100</v>
      </c>
      <c r="AE24" s="21">
        <v>0</v>
      </c>
    </row>
    <row r="25" spans="1:31" ht="12.75">
      <c r="A25" s="5" t="s">
        <v>15</v>
      </c>
      <c r="B25" s="5" t="s">
        <v>7</v>
      </c>
      <c r="C25" s="5" t="s">
        <v>163</v>
      </c>
      <c r="D25" s="122" t="s">
        <v>224</v>
      </c>
      <c r="E25" s="123"/>
      <c r="F25" s="21">
        <f>'Stavební rozpočet'!J35</f>
        <v>0</v>
      </c>
      <c r="G25" s="21">
        <v>0</v>
      </c>
      <c r="H25" s="21">
        <f t="shared" si="0"/>
        <v>0</v>
      </c>
      <c r="I25" s="21">
        <f t="shared" si="1"/>
        <v>0</v>
      </c>
      <c r="J25" s="21">
        <f>'Stavební rozpočet'!F35</f>
        <v>47.35</v>
      </c>
      <c r="K25" s="21">
        <v>0</v>
      </c>
      <c r="L25" s="59">
        <v>47.35</v>
      </c>
      <c r="M25" s="67" t="str">
        <f t="shared" si="2"/>
        <v>Nefakturováno</v>
      </c>
      <c r="N25" s="21">
        <f t="shared" si="3"/>
        <v>0</v>
      </c>
      <c r="O25" s="21">
        <f t="shared" si="4"/>
        <v>-100</v>
      </c>
      <c r="AE25" s="21">
        <v>0</v>
      </c>
    </row>
    <row r="26" spans="1:31" ht="12.75">
      <c r="A26" s="5" t="s">
        <v>16</v>
      </c>
      <c r="B26" s="5" t="s">
        <v>7</v>
      </c>
      <c r="C26" s="5" t="s">
        <v>164</v>
      </c>
      <c r="D26" s="122" t="s">
        <v>226</v>
      </c>
      <c r="E26" s="123"/>
      <c r="F26" s="21">
        <f>'Stavební rozpočet'!J37</f>
        <v>0</v>
      </c>
      <c r="G26" s="21">
        <v>0</v>
      </c>
      <c r="H26" s="21">
        <f t="shared" si="0"/>
        <v>0</v>
      </c>
      <c r="I26" s="21">
        <f t="shared" si="1"/>
        <v>0</v>
      </c>
      <c r="J26" s="21">
        <f>'Stavební rozpočet'!F37</f>
        <v>47.35</v>
      </c>
      <c r="K26" s="21">
        <v>0</v>
      </c>
      <c r="L26" s="59">
        <v>47.35</v>
      </c>
      <c r="M26" s="67" t="str">
        <f t="shared" si="2"/>
        <v>Nefakturováno</v>
      </c>
      <c r="N26" s="21">
        <f t="shared" si="3"/>
        <v>0</v>
      </c>
      <c r="O26" s="21">
        <f t="shared" si="4"/>
        <v>-100</v>
      </c>
      <c r="AE26" s="21">
        <v>0</v>
      </c>
    </row>
    <row r="27" spans="1:31" ht="12.75">
      <c r="A27" s="14"/>
      <c r="B27" s="14" t="s">
        <v>7</v>
      </c>
      <c r="C27" s="14" t="s">
        <v>165</v>
      </c>
      <c r="D27" s="120" t="s">
        <v>227</v>
      </c>
      <c r="E27" s="121"/>
      <c r="F27" s="40">
        <f>SUM(F28:F33)</f>
        <v>0</v>
      </c>
      <c r="G27" s="40">
        <f>SUM(G28:G33)</f>
        <v>0</v>
      </c>
      <c r="H27" s="40">
        <f t="shared" si="0"/>
        <v>0</v>
      </c>
      <c r="I27" s="40">
        <f t="shared" si="1"/>
        <v>0</v>
      </c>
      <c r="J27" s="40">
        <f>SUM(J28:J33)</f>
        <v>32</v>
      </c>
      <c r="K27" s="40">
        <f>SUM(K28:K33)</f>
        <v>0</v>
      </c>
      <c r="L27" s="63">
        <f>J27-K27</f>
        <v>32</v>
      </c>
      <c r="M27" s="66" t="str">
        <f t="shared" si="2"/>
        <v>Nefakturováno</v>
      </c>
      <c r="N27" s="40">
        <f t="shared" si="3"/>
        <v>0</v>
      </c>
      <c r="O27" s="40">
        <f t="shared" si="4"/>
        <v>-100</v>
      </c>
      <c r="AE27" s="21">
        <v>0</v>
      </c>
    </row>
    <row r="28" spans="1:31" ht="12.75">
      <c r="A28" s="5" t="s">
        <v>17</v>
      </c>
      <c r="B28" s="5" t="s">
        <v>7</v>
      </c>
      <c r="C28" s="5" t="s">
        <v>166</v>
      </c>
      <c r="D28" s="122" t="s">
        <v>228</v>
      </c>
      <c r="E28" s="123"/>
      <c r="F28" s="21">
        <f>'Stavební rozpočet'!J40</f>
        <v>0</v>
      </c>
      <c r="G28" s="21">
        <v>0</v>
      </c>
      <c r="H28" s="21">
        <f t="shared" si="0"/>
        <v>0</v>
      </c>
      <c r="I28" s="21">
        <f t="shared" si="1"/>
        <v>0</v>
      </c>
      <c r="J28" s="21">
        <f>'Stavební rozpočet'!F40</f>
        <v>1</v>
      </c>
      <c r="K28" s="21">
        <v>0</v>
      </c>
      <c r="L28" s="59">
        <v>1</v>
      </c>
      <c r="M28" s="67" t="str">
        <f t="shared" si="2"/>
        <v>Nefakturováno</v>
      </c>
      <c r="N28" s="21">
        <f t="shared" si="3"/>
        <v>0</v>
      </c>
      <c r="O28" s="21">
        <f t="shared" si="4"/>
        <v>-100</v>
      </c>
      <c r="AE28" s="21">
        <v>0</v>
      </c>
    </row>
    <row r="29" spans="1:31" ht="12.75">
      <c r="A29" s="5" t="s">
        <v>18</v>
      </c>
      <c r="B29" s="5" t="s">
        <v>7</v>
      </c>
      <c r="C29" s="5" t="s">
        <v>166</v>
      </c>
      <c r="D29" s="122" t="s">
        <v>229</v>
      </c>
      <c r="E29" s="123"/>
      <c r="F29" s="21">
        <f>'Stavební rozpočet'!J42</f>
        <v>0</v>
      </c>
      <c r="G29" s="21">
        <v>0</v>
      </c>
      <c r="H29" s="21">
        <f t="shared" si="0"/>
        <v>0</v>
      </c>
      <c r="I29" s="21">
        <f t="shared" si="1"/>
        <v>0</v>
      </c>
      <c r="J29" s="21">
        <f>'Stavební rozpočet'!F42</f>
        <v>1</v>
      </c>
      <c r="K29" s="21">
        <v>0</v>
      </c>
      <c r="L29" s="59">
        <v>1</v>
      </c>
      <c r="M29" s="67" t="str">
        <f t="shared" si="2"/>
        <v>Nefakturováno</v>
      </c>
      <c r="N29" s="21">
        <f t="shared" si="3"/>
        <v>0</v>
      </c>
      <c r="O29" s="21">
        <f t="shared" si="4"/>
        <v>-100</v>
      </c>
      <c r="AE29" s="21">
        <v>0</v>
      </c>
    </row>
    <row r="30" spans="1:31" ht="12.75">
      <c r="A30" s="5" t="s">
        <v>19</v>
      </c>
      <c r="B30" s="5" t="s">
        <v>7</v>
      </c>
      <c r="C30" s="5" t="s">
        <v>167</v>
      </c>
      <c r="D30" s="122" t="s">
        <v>230</v>
      </c>
      <c r="E30" s="123"/>
      <c r="F30" s="21">
        <f>'Stavební rozpočet'!J44</f>
        <v>0</v>
      </c>
      <c r="G30" s="21">
        <v>0</v>
      </c>
      <c r="H30" s="21">
        <f t="shared" si="0"/>
        <v>0</v>
      </c>
      <c r="I30" s="21">
        <f t="shared" si="1"/>
        <v>0</v>
      </c>
      <c r="J30" s="21">
        <f>'Stavební rozpočet'!F44</f>
        <v>25</v>
      </c>
      <c r="K30" s="21">
        <v>0</v>
      </c>
      <c r="L30" s="59">
        <v>25</v>
      </c>
      <c r="M30" s="67" t="str">
        <f t="shared" si="2"/>
        <v>Nefakturováno</v>
      </c>
      <c r="N30" s="21">
        <f t="shared" si="3"/>
        <v>0</v>
      </c>
      <c r="O30" s="21">
        <f t="shared" si="4"/>
        <v>-100</v>
      </c>
      <c r="AE30" s="21">
        <v>0</v>
      </c>
    </row>
    <row r="31" spans="1:31" ht="12.75">
      <c r="A31" s="5" t="s">
        <v>20</v>
      </c>
      <c r="B31" s="5" t="s">
        <v>7</v>
      </c>
      <c r="C31" s="5" t="s">
        <v>167</v>
      </c>
      <c r="D31" s="122" t="s">
        <v>231</v>
      </c>
      <c r="E31" s="123"/>
      <c r="F31" s="21">
        <f>'Stavební rozpočet'!J46</f>
        <v>0</v>
      </c>
      <c r="G31" s="21">
        <v>0</v>
      </c>
      <c r="H31" s="21">
        <f t="shared" si="0"/>
        <v>0</v>
      </c>
      <c r="I31" s="21">
        <f t="shared" si="1"/>
        <v>0</v>
      </c>
      <c r="J31" s="21">
        <f>'Stavební rozpočet'!F46</f>
        <v>1</v>
      </c>
      <c r="K31" s="21">
        <v>0</v>
      </c>
      <c r="L31" s="59">
        <v>1</v>
      </c>
      <c r="M31" s="67" t="str">
        <f t="shared" si="2"/>
        <v>Nefakturováno</v>
      </c>
      <c r="N31" s="21">
        <f t="shared" si="3"/>
        <v>0</v>
      </c>
      <c r="O31" s="21">
        <f t="shared" si="4"/>
        <v>-100</v>
      </c>
      <c r="AE31" s="21">
        <v>0</v>
      </c>
    </row>
    <row r="32" spans="1:31" ht="12.75">
      <c r="A32" s="5" t="s">
        <v>21</v>
      </c>
      <c r="B32" s="5" t="s">
        <v>7</v>
      </c>
      <c r="C32" s="5" t="s">
        <v>168</v>
      </c>
      <c r="D32" s="122" t="s">
        <v>232</v>
      </c>
      <c r="E32" s="123"/>
      <c r="F32" s="21">
        <f>'Stavební rozpočet'!J48</f>
        <v>0</v>
      </c>
      <c r="G32" s="21">
        <v>0</v>
      </c>
      <c r="H32" s="21">
        <f t="shared" si="0"/>
        <v>0</v>
      </c>
      <c r="I32" s="21">
        <f t="shared" si="1"/>
        <v>0</v>
      </c>
      <c r="J32" s="21">
        <f>'Stavební rozpočet'!F48</f>
        <v>2</v>
      </c>
      <c r="K32" s="21">
        <v>0</v>
      </c>
      <c r="L32" s="59">
        <v>2</v>
      </c>
      <c r="M32" s="67" t="str">
        <f t="shared" si="2"/>
        <v>Nefakturováno</v>
      </c>
      <c r="N32" s="21">
        <f t="shared" si="3"/>
        <v>0</v>
      </c>
      <c r="O32" s="21">
        <f t="shared" si="4"/>
        <v>-100</v>
      </c>
      <c r="AE32" s="21">
        <v>0</v>
      </c>
    </row>
    <row r="33" spans="1:31" ht="12.75">
      <c r="A33" s="5" t="s">
        <v>22</v>
      </c>
      <c r="B33" s="5" t="s">
        <v>7</v>
      </c>
      <c r="C33" s="5" t="s">
        <v>169</v>
      </c>
      <c r="D33" s="122" t="s">
        <v>233</v>
      </c>
      <c r="E33" s="123"/>
      <c r="F33" s="21">
        <f>'Stavební rozpočet'!J50</f>
        <v>0</v>
      </c>
      <c r="G33" s="21">
        <v>0</v>
      </c>
      <c r="H33" s="21">
        <f t="shared" si="0"/>
        <v>0</v>
      </c>
      <c r="I33" s="21">
        <f t="shared" si="1"/>
        <v>0</v>
      </c>
      <c r="J33" s="21">
        <f>'Stavební rozpočet'!F50</f>
        <v>2</v>
      </c>
      <c r="K33" s="21">
        <v>0</v>
      </c>
      <c r="L33" s="59">
        <v>2</v>
      </c>
      <c r="M33" s="67" t="str">
        <f t="shared" si="2"/>
        <v>Nefakturováno</v>
      </c>
      <c r="N33" s="21">
        <f t="shared" si="3"/>
        <v>0</v>
      </c>
      <c r="O33" s="21">
        <f t="shared" si="4"/>
        <v>-100</v>
      </c>
      <c r="AE33" s="21">
        <v>0</v>
      </c>
    </row>
    <row r="34" spans="1:31" ht="12.75">
      <c r="A34" s="14"/>
      <c r="B34" s="14" t="s">
        <v>7</v>
      </c>
      <c r="C34" s="14" t="s">
        <v>170</v>
      </c>
      <c r="D34" s="120" t="s">
        <v>234</v>
      </c>
      <c r="E34" s="121"/>
      <c r="F34" s="40">
        <f>SUM(F35:F36)</f>
        <v>0</v>
      </c>
      <c r="G34" s="40">
        <f>SUM(G35:G36)</f>
        <v>0</v>
      </c>
      <c r="H34" s="40">
        <f t="shared" si="0"/>
        <v>0</v>
      </c>
      <c r="I34" s="40">
        <f t="shared" si="1"/>
        <v>0</v>
      </c>
      <c r="J34" s="40">
        <f>SUM(J35:J36)</f>
        <v>4</v>
      </c>
      <c r="K34" s="40">
        <f>SUM(K35:K36)</f>
        <v>0</v>
      </c>
      <c r="L34" s="63">
        <f>J34-K34</f>
        <v>4</v>
      </c>
      <c r="M34" s="66" t="str">
        <f t="shared" si="2"/>
        <v>Nefakturováno</v>
      </c>
      <c r="N34" s="40">
        <f t="shared" si="3"/>
        <v>0</v>
      </c>
      <c r="O34" s="40">
        <f t="shared" si="4"/>
        <v>-100</v>
      </c>
      <c r="AE34" s="21">
        <v>0</v>
      </c>
    </row>
    <row r="35" spans="1:31" ht="12.75">
      <c r="A35" s="5" t="s">
        <v>23</v>
      </c>
      <c r="B35" s="5" t="s">
        <v>7</v>
      </c>
      <c r="C35" s="5" t="s">
        <v>171</v>
      </c>
      <c r="D35" s="122" t="s">
        <v>235</v>
      </c>
      <c r="E35" s="123"/>
      <c r="F35" s="21">
        <f>'Stavební rozpočet'!J53</f>
        <v>0</v>
      </c>
      <c r="G35" s="21">
        <v>0</v>
      </c>
      <c r="H35" s="21">
        <f t="shared" si="0"/>
        <v>0</v>
      </c>
      <c r="I35" s="21">
        <f t="shared" si="1"/>
        <v>0</v>
      </c>
      <c r="J35" s="21">
        <f>'Stavební rozpočet'!F53</f>
        <v>2</v>
      </c>
      <c r="K35" s="21">
        <v>0</v>
      </c>
      <c r="L35" s="59">
        <v>2</v>
      </c>
      <c r="M35" s="67" t="str">
        <f t="shared" si="2"/>
        <v>Nefakturováno</v>
      </c>
      <c r="N35" s="21">
        <f t="shared" si="3"/>
        <v>0</v>
      </c>
      <c r="O35" s="21">
        <f t="shared" si="4"/>
        <v>-100</v>
      </c>
      <c r="AE35" s="21">
        <v>0</v>
      </c>
    </row>
    <row r="36" spans="1:31" ht="12.75">
      <c r="A36" s="6" t="s">
        <v>24</v>
      </c>
      <c r="B36" s="6" t="s">
        <v>7</v>
      </c>
      <c r="C36" s="6" t="s">
        <v>172</v>
      </c>
      <c r="D36" s="124" t="s">
        <v>236</v>
      </c>
      <c r="E36" s="125"/>
      <c r="F36" s="22">
        <f>'Stavební rozpočet'!J55</f>
        <v>0</v>
      </c>
      <c r="G36" s="22">
        <v>0</v>
      </c>
      <c r="H36" s="22">
        <f t="shared" si="0"/>
        <v>0</v>
      </c>
      <c r="I36" s="22">
        <f t="shared" si="1"/>
        <v>0</v>
      </c>
      <c r="J36" s="22">
        <f>'Stavební rozpočet'!F55</f>
        <v>2</v>
      </c>
      <c r="K36" s="22">
        <v>0</v>
      </c>
      <c r="L36" s="60">
        <v>2</v>
      </c>
      <c r="M36" s="68" t="str">
        <f t="shared" si="2"/>
        <v>Nefakturováno</v>
      </c>
      <c r="N36" s="22">
        <f t="shared" si="3"/>
        <v>0</v>
      </c>
      <c r="O36" s="22">
        <f t="shared" si="4"/>
        <v>-100</v>
      </c>
      <c r="AE36" s="22">
        <v>0</v>
      </c>
    </row>
    <row r="37" spans="1:31" ht="12.75">
      <c r="A37" s="14"/>
      <c r="B37" s="14" t="s">
        <v>7</v>
      </c>
      <c r="C37" s="14" t="s">
        <v>173</v>
      </c>
      <c r="D37" s="120" t="s">
        <v>237</v>
      </c>
      <c r="E37" s="121"/>
      <c r="F37" s="40">
        <f>SUM(F38:F39)</f>
        <v>0</v>
      </c>
      <c r="G37" s="40">
        <f>SUM(G38:G39)</f>
        <v>0</v>
      </c>
      <c r="H37" s="40">
        <f t="shared" si="0"/>
        <v>0</v>
      </c>
      <c r="I37" s="40">
        <f t="shared" si="1"/>
        <v>0</v>
      </c>
      <c r="J37" s="40">
        <f>SUM(J38:J39)</f>
        <v>139.26</v>
      </c>
      <c r="K37" s="40">
        <f>SUM(K38:K39)</f>
        <v>0</v>
      </c>
      <c r="L37" s="63">
        <f>J37-K37</f>
        <v>139.26</v>
      </c>
      <c r="M37" s="66" t="str">
        <f t="shared" si="2"/>
        <v>Nefakturováno</v>
      </c>
      <c r="N37" s="40">
        <f t="shared" si="3"/>
        <v>0</v>
      </c>
      <c r="O37" s="40">
        <f t="shared" si="4"/>
        <v>-100</v>
      </c>
      <c r="AE37" s="22">
        <v>0</v>
      </c>
    </row>
    <row r="38" spans="1:31" ht="12.75">
      <c r="A38" s="5" t="s">
        <v>25</v>
      </c>
      <c r="B38" s="5" t="s">
        <v>7</v>
      </c>
      <c r="C38" s="5" t="s">
        <v>174</v>
      </c>
      <c r="D38" s="122" t="s">
        <v>238</v>
      </c>
      <c r="E38" s="123"/>
      <c r="F38" s="21">
        <f>'Stavební rozpočet'!J58</f>
        <v>0</v>
      </c>
      <c r="G38" s="21">
        <v>0</v>
      </c>
      <c r="H38" s="21">
        <f t="shared" si="0"/>
        <v>0</v>
      </c>
      <c r="I38" s="21">
        <f t="shared" si="1"/>
        <v>0</v>
      </c>
      <c r="J38" s="21">
        <f>'Stavební rozpočet'!F58</f>
        <v>69.63</v>
      </c>
      <c r="K38" s="21">
        <v>0</v>
      </c>
      <c r="L38" s="59">
        <v>69.63</v>
      </c>
      <c r="M38" s="67" t="str">
        <f t="shared" si="2"/>
        <v>Nefakturováno</v>
      </c>
      <c r="N38" s="21">
        <f t="shared" si="3"/>
        <v>0</v>
      </c>
      <c r="O38" s="21">
        <f t="shared" si="4"/>
        <v>-100</v>
      </c>
      <c r="AE38" s="21">
        <v>0</v>
      </c>
    </row>
    <row r="39" spans="1:31" ht="12.75">
      <c r="A39" s="5" t="s">
        <v>26</v>
      </c>
      <c r="B39" s="5" t="s">
        <v>7</v>
      </c>
      <c r="C39" s="5" t="s">
        <v>175</v>
      </c>
      <c r="D39" s="122" t="s">
        <v>240</v>
      </c>
      <c r="E39" s="123"/>
      <c r="F39" s="21">
        <f>'Stavební rozpočet'!J60</f>
        <v>0</v>
      </c>
      <c r="G39" s="21">
        <v>0</v>
      </c>
      <c r="H39" s="21">
        <f t="shared" si="0"/>
        <v>0</v>
      </c>
      <c r="I39" s="21">
        <f t="shared" si="1"/>
        <v>0</v>
      </c>
      <c r="J39" s="21">
        <f>'Stavební rozpočet'!F60</f>
        <v>69.63</v>
      </c>
      <c r="K39" s="21">
        <v>0</v>
      </c>
      <c r="L39" s="59">
        <v>69.63</v>
      </c>
      <c r="M39" s="67" t="str">
        <f t="shared" si="2"/>
        <v>Nefakturováno</v>
      </c>
      <c r="N39" s="21">
        <f t="shared" si="3"/>
        <v>0</v>
      </c>
      <c r="O39" s="21">
        <f t="shared" si="4"/>
        <v>-100</v>
      </c>
      <c r="AE39" s="21">
        <v>0</v>
      </c>
    </row>
    <row r="40" spans="1:31" ht="12.75">
      <c r="A40" s="14"/>
      <c r="B40" s="14" t="s">
        <v>7</v>
      </c>
      <c r="C40" s="14" t="s">
        <v>176</v>
      </c>
      <c r="D40" s="120" t="s">
        <v>241</v>
      </c>
      <c r="E40" s="121"/>
      <c r="F40" s="40">
        <f>SUM(F41:F42)</f>
        <v>0</v>
      </c>
      <c r="G40" s="40">
        <f>SUM(G41:G42)</f>
        <v>0</v>
      </c>
      <c r="H40" s="40">
        <f t="shared" si="0"/>
        <v>0</v>
      </c>
      <c r="I40" s="40">
        <f t="shared" si="1"/>
        <v>0</v>
      </c>
      <c r="J40" s="40">
        <f>SUM(J41:J42)</f>
        <v>99.75</v>
      </c>
      <c r="K40" s="40">
        <f>SUM(K41:K42)</f>
        <v>0</v>
      </c>
      <c r="L40" s="63">
        <f>J40-K40</f>
        <v>99.75</v>
      </c>
      <c r="M40" s="66" t="str">
        <f t="shared" si="2"/>
        <v>Nefakturováno</v>
      </c>
      <c r="N40" s="40">
        <f t="shared" si="3"/>
        <v>0</v>
      </c>
      <c r="O40" s="40">
        <f t="shared" si="4"/>
        <v>-100</v>
      </c>
      <c r="AE40" s="21">
        <v>0</v>
      </c>
    </row>
    <row r="41" spans="1:31" ht="12.75">
      <c r="A41" s="5" t="s">
        <v>27</v>
      </c>
      <c r="B41" s="5" t="s">
        <v>7</v>
      </c>
      <c r="C41" s="5" t="s">
        <v>177</v>
      </c>
      <c r="D41" s="122" t="s">
        <v>242</v>
      </c>
      <c r="E41" s="123"/>
      <c r="F41" s="21">
        <f>'Stavební rozpočet'!J63</f>
        <v>0</v>
      </c>
      <c r="G41" s="21">
        <v>0</v>
      </c>
      <c r="H41" s="21">
        <f t="shared" si="0"/>
        <v>0</v>
      </c>
      <c r="I41" s="21">
        <f t="shared" si="1"/>
        <v>0</v>
      </c>
      <c r="J41" s="21">
        <f>'Stavební rozpočet'!F63</f>
        <v>74.75</v>
      </c>
      <c r="K41" s="21">
        <v>0</v>
      </c>
      <c r="L41" s="59">
        <v>74.75</v>
      </c>
      <c r="M41" s="67" t="str">
        <f t="shared" si="2"/>
        <v>Nefakturováno</v>
      </c>
      <c r="N41" s="21">
        <f t="shared" si="3"/>
        <v>0</v>
      </c>
      <c r="O41" s="21">
        <f t="shared" si="4"/>
        <v>-100</v>
      </c>
      <c r="AE41" s="21">
        <v>0</v>
      </c>
    </row>
    <row r="42" spans="1:31" ht="12.75">
      <c r="A42" s="6" t="s">
        <v>28</v>
      </c>
      <c r="B42" s="6" t="s">
        <v>7</v>
      </c>
      <c r="C42" s="6" t="s">
        <v>178</v>
      </c>
      <c r="D42" s="124" t="s">
        <v>244</v>
      </c>
      <c r="E42" s="125"/>
      <c r="F42" s="22">
        <f>'Stavební rozpočet'!J65</f>
        <v>0</v>
      </c>
      <c r="G42" s="22">
        <v>0</v>
      </c>
      <c r="H42" s="22">
        <f t="shared" si="0"/>
        <v>0</v>
      </c>
      <c r="I42" s="22">
        <f t="shared" si="1"/>
        <v>0</v>
      </c>
      <c r="J42" s="22">
        <f>'Stavební rozpočet'!F65</f>
        <v>25</v>
      </c>
      <c r="K42" s="22">
        <v>0</v>
      </c>
      <c r="L42" s="60">
        <v>25</v>
      </c>
      <c r="M42" s="68" t="str">
        <f t="shared" si="2"/>
        <v>Nefakturováno</v>
      </c>
      <c r="N42" s="22">
        <f t="shared" si="3"/>
        <v>0</v>
      </c>
      <c r="O42" s="22">
        <f t="shared" si="4"/>
        <v>-100</v>
      </c>
      <c r="AE42" s="22">
        <v>0</v>
      </c>
    </row>
    <row r="43" spans="1:31" ht="12.75">
      <c r="A43" s="14"/>
      <c r="B43" s="14" t="s">
        <v>7</v>
      </c>
      <c r="C43" s="14" t="s">
        <v>102</v>
      </c>
      <c r="D43" s="120" t="s">
        <v>245</v>
      </c>
      <c r="E43" s="121"/>
      <c r="F43" s="40">
        <f>SUM(F44:F49)</f>
        <v>0</v>
      </c>
      <c r="G43" s="40">
        <f>SUM(G44:G49)</f>
        <v>0</v>
      </c>
      <c r="H43" s="40">
        <f t="shared" si="0"/>
        <v>0</v>
      </c>
      <c r="I43" s="40">
        <f t="shared" si="1"/>
        <v>0</v>
      </c>
      <c r="J43" s="40">
        <f>SUM(J44:J49)</f>
        <v>307.9075</v>
      </c>
      <c r="K43" s="40">
        <f>SUM(K44:K49)</f>
        <v>0</v>
      </c>
      <c r="L43" s="63">
        <f>J43-K43</f>
        <v>307.9075</v>
      </c>
      <c r="M43" s="66" t="str">
        <f t="shared" si="2"/>
        <v>Nefakturováno</v>
      </c>
      <c r="N43" s="40">
        <f t="shared" si="3"/>
        <v>0</v>
      </c>
      <c r="O43" s="40">
        <f t="shared" si="4"/>
        <v>-100</v>
      </c>
      <c r="AE43" s="22">
        <v>0</v>
      </c>
    </row>
    <row r="44" spans="1:31" ht="12.75">
      <c r="A44" s="5" t="s">
        <v>29</v>
      </c>
      <c r="B44" s="5" t="s">
        <v>7</v>
      </c>
      <c r="C44" s="5" t="s">
        <v>179</v>
      </c>
      <c r="D44" s="122" t="s">
        <v>246</v>
      </c>
      <c r="E44" s="123"/>
      <c r="F44" s="21">
        <f>'Stavební rozpočet'!J68</f>
        <v>0</v>
      </c>
      <c r="G44" s="21">
        <v>0</v>
      </c>
      <c r="H44" s="21">
        <f t="shared" si="0"/>
        <v>0</v>
      </c>
      <c r="I44" s="21">
        <f t="shared" si="1"/>
        <v>0</v>
      </c>
      <c r="J44" s="21">
        <f>'Stavební rozpočet'!F68</f>
        <v>156</v>
      </c>
      <c r="K44" s="21">
        <v>0</v>
      </c>
      <c r="L44" s="59">
        <v>156</v>
      </c>
      <c r="M44" s="67" t="str">
        <f t="shared" si="2"/>
        <v>Nefakturováno</v>
      </c>
      <c r="N44" s="21">
        <f t="shared" si="3"/>
        <v>0</v>
      </c>
      <c r="O44" s="21">
        <f t="shared" si="4"/>
        <v>-100</v>
      </c>
      <c r="AE44" s="21">
        <v>0</v>
      </c>
    </row>
    <row r="45" spans="1:31" ht="12.75">
      <c r="A45" s="5" t="s">
        <v>30</v>
      </c>
      <c r="B45" s="5" t="s">
        <v>7</v>
      </c>
      <c r="C45" s="5" t="s">
        <v>180</v>
      </c>
      <c r="D45" s="122" t="s">
        <v>248</v>
      </c>
      <c r="E45" s="123"/>
      <c r="F45" s="21">
        <f>'Stavební rozpočet'!J70</f>
        <v>0</v>
      </c>
      <c r="G45" s="21">
        <v>0</v>
      </c>
      <c r="H45" s="21">
        <f t="shared" si="0"/>
        <v>0</v>
      </c>
      <c r="I45" s="21">
        <f t="shared" si="1"/>
        <v>0</v>
      </c>
      <c r="J45" s="21">
        <f>'Stavební rozpočet'!F70</f>
        <v>71.0725</v>
      </c>
      <c r="K45" s="21">
        <v>0</v>
      </c>
      <c r="L45" s="59">
        <v>71.0725</v>
      </c>
      <c r="M45" s="67" t="str">
        <f t="shared" si="2"/>
        <v>Nefakturováno</v>
      </c>
      <c r="N45" s="21">
        <f t="shared" si="3"/>
        <v>0</v>
      </c>
      <c r="O45" s="21">
        <f t="shared" si="4"/>
        <v>-100</v>
      </c>
      <c r="AE45" s="21">
        <v>0</v>
      </c>
    </row>
    <row r="46" spans="1:31" ht="12.75">
      <c r="A46" s="5" t="s">
        <v>31</v>
      </c>
      <c r="B46" s="5" t="s">
        <v>7</v>
      </c>
      <c r="C46" s="5" t="s">
        <v>181</v>
      </c>
      <c r="D46" s="122" t="s">
        <v>250</v>
      </c>
      <c r="E46" s="123"/>
      <c r="F46" s="21">
        <f>'Stavební rozpočet'!J72</f>
        <v>0</v>
      </c>
      <c r="G46" s="21">
        <v>0</v>
      </c>
      <c r="H46" s="21">
        <f t="shared" si="0"/>
        <v>0</v>
      </c>
      <c r="I46" s="21">
        <f t="shared" si="1"/>
        <v>0</v>
      </c>
      <c r="J46" s="21">
        <f>'Stavební rozpočet'!F72</f>
        <v>9.6425</v>
      </c>
      <c r="K46" s="21">
        <v>0</v>
      </c>
      <c r="L46" s="59">
        <v>9.6425</v>
      </c>
      <c r="M46" s="67" t="str">
        <f t="shared" si="2"/>
        <v>Nefakturováno</v>
      </c>
      <c r="N46" s="21">
        <f t="shared" si="3"/>
        <v>0</v>
      </c>
      <c r="O46" s="21">
        <f t="shared" si="4"/>
        <v>-100</v>
      </c>
      <c r="AE46" s="21">
        <v>0</v>
      </c>
    </row>
    <row r="47" spans="1:31" ht="12.75">
      <c r="A47" s="5" t="s">
        <v>32</v>
      </c>
      <c r="B47" s="5" t="s">
        <v>7</v>
      </c>
      <c r="C47" s="5" t="s">
        <v>182</v>
      </c>
      <c r="D47" s="122" t="s">
        <v>252</v>
      </c>
      <c r="E47" s="123"/>
      <c r="F47" s="21">
        <f>'Stavební rozpočet'!J74</f>
        <v>0</v>
      </c>
      <c r="G47" s="21">
        <v>0</v>
      </c>
      <c r="H47" s="21">
        <f t="shared" si="0"/>
        <v>0</v>
      </c>
      <c r="I47" s="21">
        <f t="shared" si="1"/>
        <v>0</v>
      </c>
      <c r="J47" s="21">
        <f>'Stavební rozpočet'!F74</f>
        <v>4</v>
      </c>
      <c r="K47" s="21">
        <v>0</v>
      </c>
      <c r="L47" s="59">
        <v>4</v>
      </c>
      <c r="M47" s="67" t="str">
        <f t="shared" si="2"/>
        <v>Nefakturováno</v>
      </c>
      <c r="N47" s="21">
        <f t="shared" si="3"/>
        <v>0</v>
      </c>
      <c r="O47" s="21">
        <f t="shared" si="4"/>
        <v>-100</v>
      </c>
      <c r="AE47" s="21">
        <v>0</v>
      </c>
    </row>
    <row r="48" spans="1:31" ht="12.75">
      <c r="A48" s="5" t="s">
        <v>33</v>
      </c>
      <c r="B48" s="5" t="s">
        <v>7</v>
      </c>
      <c r="C48" s="5" t="s">
        <v>183</v>
      </c>
      <c r="D48" s="122" t="s">
        <v>254</v>
      </c>
      <c r="E48" s="123"/>
      <c r="F48" s="21">
        <f>'Stavební rozpočet'!J76</f>
        <v>0</v>
      </c>
      <c r="G48" s="21">
        <v>0</v>
      </c>
      <c r="H48" s="21">
        <f t="shared" si="0"/>
        <v>0</v>
      </c>
      <c r="I48" s="21">
        <f t="shared" si="1"/>
        <v>0</v>
      </c>
      <c r="J48" s="21">
        <f>'Stavební rozpočet'!F76</f>
        <v>12.5</v>
      </c>
      <c r="K48" s="21">
        <v>0</v>
      </c>
      <c r="L48" s="59">
        <v>12.5</v>
      </c>
      <c r="M48" s="67" t="str">
        <f t="shared" si="2"/>
        <v>Nefakturováno</v>
      </c>
      <c r="N48" s="21">
        <f t="shared" si="3"/>
        <v>0</v>
      </c>
      <c r="O48" s="21">
        <f t="shared" si="4"/>
        <v>-100</v>
      </c>
      <c r="AE48" s="21">
        <v>0</v>
      </c>
    </row>
    <row r="49" spans="1:31" ht="12.75">
      <c r="A49" s="5" t="s">
        <v>34</v>
      </c>
      <c r="B49" s="5" t="s">
        <v>7</v>
      </c>
      <c r="C49" s="5" t="s">
        <v>184</v>
      </c>
      <c r="D49" s="122" t="s">
        <v>256</v>
      </c>
      <c r="E49" s="123"/>
      <c r="F49" s="21">
        <f>'Stavební rozpočet'!J78</f>
        <v>0</v>
      </c>
      <c r="G49" s="21">
        <v>0</v>
      </c>
      <c r="H49" s="21">
        <f t="shared" si="0"/>
        <v>0</v>
      </c>
      <c r="I49" s="21">
        <f t="shared" si="1"/>
        <v>0</v>
      </c>
      <c r="J49" s="21">
        <f>'Stavební rozpočet'!F78</f>
        <v>54.6925</v>
      </c>
      <c r="K49" s="21">
        <v>0</v>
      </c>
      <c r="L49" s="59">
        <v>54.6925</v>
      </c>
      <c r="M49" s="67" t="str">
        <f t="shared" si="2"/>
        <v>Nefakturováno</v>
      </c>
      <c r="N49" s="21">
        <f t="shared" si="3"/>
        <v>0</v>
      </c>
      <c r="O49" s="21">
        <f t="shared" si="4"/>
        <v>-100</v>
      </c>
      <c r="AE49" s="21">
        <v>0</v>
      </c>
    </row>
    <row r="50" spans="1:31" ht="12.75">
      <c r="A50" s="14"/>
      <c r="B50" s="14" t="s">
        <v>7</v>
      </c>
      <c r="C50" s="14" t="s">
        <v>185</v>
      </c>
      <c r="D50" s="120" t="s">
        <v>258</v>
      </c>
      <c r="E50" s="121"/>
      <c r="F50" s="40">
        <f>SUM(F51:F52)</f>
        <v>0</v>
      </c>
      <c r="G50" s="40">
        <f>SUM(G51:G52)</f>
        <v>0</v>
      </c>
      <c r="H50" s="40">
        <f t="shared" si="0"/>
        <v>0</v>
      </c>
      <c r="I50" s="40">
        <f t="shared" si="1"/>
        <v>0</v>
      </c>
      <c r="J50" s="40">
        <f>SUM(J51:J52)</f>
        <v>482.58000000000004</v>
      </c>
      <c r="K50" s="40">
        <f>SUM(K51:K52)</f>
        <v>0</v>
      </c>
      <c r="L50" s="63">
        <f>J50-K50</f>
        <v>482.58000000000004</v>
      </c>
      <c r="M50" s="66" t="str">
        <f t="shared" si="2"/>
        <v>Nefakturováno</v>
      </c>
      <c r="N50" s="40">
        <f t="shared" si="3"/>
        <v>0</v>
      </c>
      <c r="O50" s="40">
        <f t="shared" si="4"/>
        <v>-100</v>
      </c>
      <c r="AE50" s="21">
        <v>0</v>
      </c>
    </row>
    <row r="51" spans="1:31" ht="12.75">
      <c r="A51" s="5" t="s">
        <v>35</v>
      </c>
      <c r="B51" s="5" t="s">
        <v>7</v>
      </c>
      <c r="C51" s="5" t="s">
        <v>186</v>
      </c>
      <c r="D51" s="122" t="s">
        <v>259</v>
      </c>
      <c r="E51" s="123"/>
      <c r="F51" s="21">
        <f>'Stavební rozpočet'!J81</f>
        <v>0</v>
      </c>
      <c r="G51" s="21">
        <v>0</v>
      </c>
      <c r="H51" s="21">
        <f t="shared" si="0"/>
        <v>0</v>
      </c>
      <c r="I51" s="21">
        <f t="shared" si="1"/>
        <v>0</v>
      </c>
      <c r="J51" s="21">
        <f>'Stavební rozpočet'!F81</f>
        <v>22.98</v>
      </c>
      <c r="K51" s="21">
        <v>0</v>
      </c>
      <c r="L51" s="59">
        <v>22.98</v>
      </c>
      <c r="M51" s="67" t="str">
        <f t="shared" si="2"/>
        <v>Nefakturováno</v>
      </c>
      <c r="N51" s="21">
        <f t="shared" si="3"/>
        <v>0</v>
      </c>
      <c r="O51" s="21">
        <f t="shared" si="4"/>
        <v>-100</v>
      </c>
      <c r="AE51" s="21">
        <v>0</v>
      </c>
    </row>
    <row r="52" spans="1:31" ht="12.75">
      <c r="A52" s="5" t="s">
        <v>36</v>
      </c>
      <c r="B52" s="5" t="s">
        <v>7</v>
      </c>
      <c r="C52" s="5" t="s">
        <v>187</v>
      </c>
      <c r="D52" s="122" t="s">
        <v>261</v>
      </c>
      <c r="E52" s="123"/>
      <c r="F52" s="21">
        <f>'Stavební rozpočet'!J83</f>
        <v>0</v>
      </c>
      <c r="G52" s="21">
        <v>0</v>
      </c>
      <c r="H52" s="21">
        <f t="shared" si="0"/>
        <v>0</v>
      </c>
      <c r="I52" s="21">
        <f t="shared" si="1"/>
        <v>0</v>
      </c>
      <c r="J52" s="21">
        <f>'Stavební rozpočet'!F83</f>
        <v>459.6</v>
      </c>
      <c r="K52" s="21">
        <v>0</v>
      </c>
      <c r="L52" s="59">
        <v>459.6</v>
      </c>
      <c r="M52" s="67" t="str">
        <f t="shared" si="2"/>
        <v>Nefakturováno</v>
      </c>
      <c r="N52" s="21">
        <f t="shared" si="3"/>
        <v>0</v>
      </c>
      <c r="O52" s="21">
        <f t="shared" si="4"/>
        <v>-100</v>
      </c>
      <c r="AE52" s="21">
        <v>0</v>
      </c>
    </row>
    <row r="53" spans="1:31" ht="12.75">
      <c r="A53" s="14"/>
      <c r="B53" s="14" t="s">
        <v>7</v>
      </c>
      <c r="C53" s="14" t="s">
        <v>188</v>
      </c>
      <c r="D53" s="120" t="s">
        <v>227</v>
      </c>
      <c r="E53" s="121"/>
      <c r="F53" s="40">
        <f>SUM(F54:F54)</f>
        <v>0</v>
      </c>
      <c r="G53" s="40">
        <f>SUM(G54:G54)</f>
        <v>0</v>
      </c>
      <c r="H53" s="40">
        <f t="shared" si="0"/>
        <v>0</v>
      </c>
      <c r="I53" s="40">
        <f t="shared" si="1"/>
        <v>0</v>
      </c>
      <c r="J53" s="40">
        <f>SUM(J54:J54)</f>
        <v>22.98</v>
      </c>
      <c r="K53" s="40">
        <f>SUM(K54:K54)</f>
        <v>0</v>
      </c>
      <c r="L53" s="63">
        <f>J53-K53</f>
        <v>22.98</v>
      </c>
      <c r="M53" s="66" t="str">
        <f t="shared" si="2"/>
        <v>Nefakturováno</v>
      </c>
      <c r="N53" s="40">
        <f t="shared" si="3"/>
        <v>0</v>
      </c>
      <c r="O53" s="40">
        <f t="shared" si="4"/>
        <v>-100</v>
      </c>
      <c r="AE53" s="21">
        <v>0</v>
      </c>
    </row>
    <row r="54" spans="1:31" ht="12.75">
      <c r="A54" s="5" t="s">
        <v>37</v>
      </c>
      <c r="B54" s="5" t="s">
        <v>7</v>
      </c>
      <c r="C54" s="5" t="s">
        <v>189</v>
      </c>
      <c r="D54" s="122" t="s">
        <v>263</v>
      </c>
      <c r="E54" s="123"/>
      <c r="F54" s="21">
        <f>'Stavební rozpočet'!J86</f>
        <v>0</v>
      </c>
      <c r="G54" s="21">
        <v>0</v>
      </c>
      <c r="H54" s="21">
        <f t="shared" si="0"/>
        <v>0</v>
      </c>
      <c r="I54" s="21">
        <f t="shared" si="1"/>
        <v>0</v>
      </c>
      <c r="J54" s="21">
        <f>'Stavební rozpočet'!F86</f>
        <v>22.98</v>
      </c>
      <c r="K54" s="21">
        <v>0</v>
      </c>
      <c r="L54" s="59">
        <v>22.98</v>
      </c>
      <c r="M54" s="67" t="str">
        <f t="shared" si="2"/>
        <v>Nefakturováno</v>
      </c>
      <c r="N54" s="21">
        <f t="shared" si="3"/>
        <v>0</v>
      </c>
      <c r="O54" s="21">
        <f t="shared" si="4"/>
        <v>-100</v>
      </c>
      <c r="AE54" s="21">
        <v>0</v>
      </c>
    </row>
    <row r="55" spans="1:31" ht="12.75">
      <c r="A55" s="14"/>
      <c r="B55" s="14" t="s">
        <v>7</v>
      </c>
      <c r="C55" s="14" t="s">
        <v>190</v>
      </c>
      <c r="D55" s="120" t="s">
        <v>265</v>
      </c>
      <c r="E55" s="121"/>
      <c r="F55" s="40">
        <f>SUM(F56:F59)</f>
        <v>0</v>
      </c>
      <c r="G55" s="40">
        <f>SUM(G56:G59)</f>
        <v>0</v>
      </c>
      <c r="H55" s="40">
        <f t="shared" si="0"/>
        <v>0</v>
      </c>
      <c r="I55" s="40">
        <f t="shared" si="1"/>
        <v>0</v>
      </c>
      <c r="J55" s="40">
        <f>SUM(J56:J59)</f>
        <v>31.6</v>
      </c>
      <c r="K55" s="40">
        <f>SUM(K56:K59)</f>
        <v>0</v>
      </c>
      <c r="L55" s="63">
        <f>J55-K55</f>
        <v>31.6</v>
      </c>
      <c r="M55" s="66" t="str">
        <f t="shared" si="2"/>
        <v>Nefakturováno</v>
      </c>
      <c r="N55" s="40">
        <f t="shared" si="3"/>
        <v>0</v>
      </c>
      <c r="O55" s="40">
        <f t="shared" si="4"/>
        <v>-100</v>
      </c>
      <c r="AE55" s="21">
        <v>0</v>
      </c>
    </row>
    <row r="56" spans="1:31" ht="12.75">
      <c r="A56" s="5" t="s">
        <v>38</v>
      </c>
      <c r="B56" s="5" t="s">
        <v>7</v>
      </c>
      <c r="C56" s="5" t="s">
        <v>191</v>
      </c>
      <c r="D56" s="122" t="s">
        <v>266</v>
      </c>
      <c r="E56" s="123"/>
      <c r="F56" s="21">
        <f>'Stavební rozpočet'!J89</f>
        <v>0</v>
      </c>
      <c r="G56" s="21">
        <v>0</v>
      </c>
      <c r="H56" s="21">
        <f t="shared" si="0"/>
        <v>0</v>
      </c>
      <c r="I56" s="21">
        <f t="shared" si="1"/>
        <v>0</v>
      </c>
      <c r="J56" s="21">
        <f>'Stavební rozpočet'!F89</f>
        <v>7.9</v>
      </c>
      <c r="K56" s="21">
        <v>0</v>
      </c>
      <c r="L56" s="59">
        <v>7.9</v>
      </c>
      <c r="M56" s="67" t="str">
        <f t="shared" si="2"/>
        <v>Nefakturováno</v>
      </c>
      <c r="N56" s="21">
        <f t="shared" si="3"/>
        <v>0</v>
      </c>
      <c r="O56" s="21">
        <f t="shared" si="4"/>
        <v>-100</v>
      </c>
      <c r="AE56" s="21">
        <v>0</v>
      </c>
    </row>
    <row r="57" spans="1:31" ht="12.75">
      <c r="A57" s="5" t="s">
        <v>39</v>
      </c>
      <c r="B57" s="5" t="s">
        <v>7</v>
      </c>
      <c r="C57" s="5" t="s">
        <v>192</v>
      </c>
      <c r="D57" s="122" t="s">
        <v>268</v>
      </c>
      <c r="E57" s="123"/>
      <c r="F57" s="21">
        <f>'Stavební rozpočet'!J91</f>
        <v>0</v>
      </c>
      <c r="G57" s="21">
        <v>0</v>
      </c>
      <c r="H57" s="21">
        <f t="shared" si="0"/>
        <v>0</v>
      </c>
      <c r="I57" s="21">
        <f t="shared" si="1"/>
        <v>0</v>
      </c>
      <c r="J57" s="21">
        <f>'Stavební rozpočet'!F91</f>
        <v>7.9</v>
      </c>
      <c r="K57" s="21">
        <v>0</v>
      </c>
      <c r="L57" s="59">
        <v>7.9</v>
      </c>
      <c r="M57" s="67" t="str">
        <f t="shared" si="2"/>
        <v>Nefakturováno</v>
      </c>
      <c r="N57" s="21">
        <f t="shared" si="3"/>
        <v>0</v>
      </c>
      <c r="O57" s="21">
        <f t="shared" si="4"/>
        <v>-100</v>
      </c>
      <c r="AE57" s="21">
        <v>0</v>
      </c>
    </row>
    <row r="58" spans="1:31" ht="12.75">
      <c r="A58" s="5" t="s">
        <v>40</v>
      </c>
      <c r="B58" s="5" t="s">
        <v>7</v>
      </c>
      <c r="C58" s="5" t="s">
        <v>193</v>
      </c>
      <c r="D58" s="122" t="s">
        <v>270</v>
      </c>
      <c r="E58" s="123"/>
      <c r="F58" s="21">
        <f>'Stavební rozpočet'!J93</f>
        <v>0</v>
      </c>
      <c r="G58" s="21">
        <v>0</v>
      </c>
      <c r="H58" s="21">
        <f t="shared" si="0"/>
        <v>0</v>
      </c>
      <c r="I58" s="21">
        <f t="shared" si="1"/>
        <v>0</v>
      </c>
      <c r="J58" s="21">
        <f>'Stavební rozpočet'!F93</f>
        <v>7.9</v>
      </c>
      <c r="K58" s="21">
        <v>0</v>
      </c>
      <c r="L58" s="59">
        <v>7.9</v>
      </c>
      <c r="M58" s="67" t="str">
        <f t="shared" si="2"/>
        <v>Nefakturováno</v>
      </c>
      <c r="N58" s="21">
        <f t="shared" si="3"/>
        <v>0</v>
      </c>
      <c r="O58" s="21">
        <f t="shared" si="4"/>
        <v>-100</v>
      </c>
      <c r="AE58" s="21">
        <v>0</v>
      </c>
    </row>
    <row r="59" spans="1:31" ht="12.75">
      <c r="A59" s="5" t="s">
        <v>41</v>
      </c>
      <c r="B59" s="5" t="s">
        <v>7</v>
      </c>
      <c r="C59" s="5" t="s">
        <v>194</v>
      </c>
      <c r="D59" s="122" t="s">
        <v>271</v>
      </c>
      <c r="E59" s="123"/>
      <c r="F59" s="21">
        <f>'Stavební rozpočet'!J95</f>
        <v>0</v>
      </c>
      <c r="G59" s="21">
        <v>0</v>
      </c>
      <c r="H59" s="21">
        <f t="shared" si="0"/>
        <v>0</v>
      </c>
      <c r="I59" s="21">
        <f t="shared" si="1"/>
        <v>0</v>
      </c>
      <c r="J59" s="21">
        <f>'Stavební rozpočet'!F95</f>
        <v>7.9</v>
      </c>
      <c r="K59" s="21">
        <v>0</v>
      </c>
      <c r="L59" s="59">
        <v>7.9</v>
      </c>
      <c r="M59" s="67" t="str">
        <f t="shared" si="2"/>
        <v>Nefakturováno</v>
      </c>
      <c r="N59" s="21">
        <f t="shared" si="3"/>
        <v>0</v>
      </c>
      <c r="O59" s="21">
        <f t="shared" si="4"/>
        <v>-100</v>
      </c>
      <c r="AE59" s="21">
        <v>0</v>
      </c>
    </row>
    <row r="60" spans="1:31" ht="12.75">
      <c r="A60" s="15"/>
      <c r="B60" s="15" t="s">
        <v>8</v>
      </c>
      <c r="C60" s="15"/>
      <c r="D60" s="126" t="s">
        <v>272</v>
      </c>
      <c r="E60" s="127"/>
      <c r="F60" s="41">
        <f>F61+F63+F66+F68+F72+F75+F77+F80+F85+F88+F90</f>
        <v>0</v>
      </c>
      <c r="G60" s="41">
        <f>G61+G63+G66+G68+G72+G75+G77+G80+G85+G88+G90</f>
        <v>0</v>
      </c>
      <c r="H60" s="41">
        <f t="shared" si="0"/>
        <v>0</v>
      </c>
      <c r="I60" s="41">
        <f t="shared" si="1"/>
        <v>0</v>
      </c>
      <c r="J60" s="41">
        <f>J61+J63+J66+J68+J72+J75+J77+J80+J85+J88+J90</f>
        <v>766.494</v>
      </c>
      <c r="K60" s="41">
        <f>K61+K63+K66+K68+K72+K75+K77+K80+K85+K88+K90</f>
        <v>0</v>
      </c>
      <c r="L60" s="64">
        <f>J60-K60</f>
        <v>766.494</v>
      </c>
      <c r="M60" s="69" t="str">
        <f t="shared" si="2"/>
        <v>Nefakturováno</v>
      </c>
      <c r="N60" s="41">
        <f t="shared" si="3"/>
        <v>0</v>
      </c>
      <c r="O60" s="41">
        <f t="shared" si="4"/>
        <v>-100</v>
      </c>
      <c r="AE60" s="21">
        <v>0</v>
      </c>
    </row>
    <row r="61" spans="1:31" ht="12.75">
      <c r="A61" s="14"/>
      <c r="B61" s="14" t="s">
        <v>8</v>
      </c>
      <c r="C61" s="14" t="s">
        <v>40</v>
      </c>
      <c r="D61" s="120" t="s">
        <v>203</v>
      </c>
      <c r="E61" s="121"/>
      <c r="F61" s="40">
        <f>SUM(F62:F62)</f>
        <v>0</v>
      </c>
      <c r="G61" s="40">
        <f>SUM(G62:G62)</f>
        <v>0</v>
      </c>
      <c r="H61" s="40">
        <f t="shared" si="0"/>
        <v>0</v>
      </c>
      <c r="I61" s="40">
        <f t="shared" si="1"/>
        <v>0</v>
      </c>
      <c r="J61" s="40">
        <f>SUM(J62:J62)</f>
        <v>82.8</v>
      </c>
      <c r="K61" s="40">
        <f>SUM(K62:K62)</f>
        <v>0</v>
      </c>
      <c r="L61" s="63">
        <f>J61-K61</f>
        <v>82.8</v>
      </c>
      <c r="M61" s="66" t="str">
        <f t="shared" si="2"/>
        <v>Nefakturováno</v>
      </c>
      <c r="N61" s="40">
        <f t="shared" si="3"/>
        <v>0</v>
      </c>
      <c r="O61" s="40">
        <f t="shared" si="4"/>
        <v>-100</v>
      </c>
      <c r="AE61" s="21">
        <v>0</v>
      </c>
    </row>
    <row r="62" spans="1:31" ht="12.75">
      <c r="A62" s="5" t="s">
        <v>42</v>
      </c>
      <c r="B62" s="5" t="s">
        <v>8</v>
      </c>
      <c r="C62" s="5" t="s">
        <v>153</v>
      </c>
      <c r="D62" s="122" t="s">
        <v>204</v>
      </c>
      <c r="E62" s="123"/>
      <c r="F62" s="21">
        <f>'Stavební rozpočet'!J99</f>
        <v>0</v>
      </c>
      <c r="G62" s="21">
        <v>0</v>
      </c>
      <c r="H62" s="21">
        <f t="shared" si="0"/>
        <v>0</v>
      </c>
      <c r="I62" s="21">
        <f t="shared" si="1"/>
        <v>0</v>
      </c>
      <c r="J62" s="21">
        <f>'Stavební rozpočet'!F99</f>
        <v>82.8</v>
      </c>
      <c r="K62" s="21">
        <v>0</v>
      </c>
      <c r="L62" s="59">
        <v>82.8</v>
      </c>
      <c r="M62" s="67" t="str">
        <f t="shared" si="2"/>
        <v>Nefakturováno</v>
      </c>
      <c r="N62" s="21">
        <f t="shared" si="3"/>
        <v>0</v>
      </c>
      <c r="O62" s="21">
        <f t="shared" si="4"/>
        <v>-100</v>
      </c>
      <c r="AE62" s="21">
        <v>0</v>
      </c>
    </row>
    <row r="63" spans="1:31" ht="12.75">
      <c r="A63" s="14"/>
      <c r="B63" s="14" t="s">
        <v>8</v>
      </c>
      <c r="C63" s="14" t="s">
        <v>67</v>
      </c>
      <c r="D63" s="120" t="s">
        <v>206</v>
      </c>
      <c r="E63" s="121"/>
      <c r="F63" s="40">
        <f>SUM(F64:F65)</f>
        <v>0</v>
      </c>
      <c r="G63" s="40">
        <f>SUM(G64:G65)</f>
        <v>0</v>
      </c>
      <c r="H63" s="40">
        <f t="shared" si="0"/>
        <v>0</v>
      </c>
      <c r="I63" s="40">
        <f t="shared" si="1"/>
        <v>0</v>
      </c>
      <c r="J63" s="40">
        <f>SUM(J64:J65)</f>
        <v>64.44</v>
      </c>
      <c r="K63" s="40">
        <f>SUM(K64:K65)</f>
        <v>0</v>
      </c>
      <c r="L63" s="63">
        <f>J63-K63</f>
        <v>64.44</v>
      </c>
      <c r="M63" s="66" t="str">
        <f t="shared" si="2"/>
        <v>Nefakturováno</v>
      </c>
      <c r="N63" s="40">
        <f t="shared" si="3"/>
        <v>0</v>
      </c>
      <c r="O63" s="40">
        <f t="shared" si="4"/>
        <v>-100</v>
      </c>
      <c r="AE63" s="21">
        <v>0</v>
      </c>
    </row>
    <row r="64" spans="1:31" ht="12.75">
      <c r="A64" s="5" t="s">
        <v>43</v>
      </c>
      <c r="B64" s="5" t="s">
        <v>8</v>
      </c>
      <c r="C64" s="5" t="s">
        <v>154</v>
      </c>
      <c r="D64" s="122" t="s">
        <v>207</v>
      </c>
      <c r="E64" s="123"/>
      <c r="F64" s="21">
        <f>'Stavební rozpočet'!J102</f>
        <v>0</v>
      </c>
      <c r="G64" s="21">
        <v>0</v>
      </c>
      <c r="H64" s="21">
        <f t="shared" si="0"/>
        <v>0</v>
      </c>
      <c r="I64" s="21">
        <f t="shared" si="1"/>
        <v>0</v>
      </c>
      <c r="J64" s="21">
        <f>'Stavební rozpočet'!F102</f>
        <v>31.32</v>
      </c>
      <c r="K64" s="21">
        <v>0</v>
      </c>
      <c r="L64" s="59">
        <v>31.32</v>
      </c>
      <c r="M64" s="67" t="str">
        <f t="shared" si="2"/>
        <v>Nefakturováno</v>
      </c>
      <c r="N64" s="21">
        <f t="shared" si="3"/>
        <v>0</v>
      </c>
      <c r="O64" s="21">
        <f t="shared" si="4"/>
        <v>-100</v>
      </c>
      <c r="AE64" s="21">
        <v>0</v>
      </c>
    </row>
    <row r="65" spans="1:31" ht="12.75">
      <c r="A65" s="5" t="s">
        <v>44</v>
      </c>
      <c r="B65" s="5" t="s">
        <v>8</v>
      </c>
      <c r="C65" s="5" t="s">
        <v>155</v>
      </c>
      <c r="D65" s="122" t="s">
        <v>209</v>
      </c>
      <c r="E65" s="123"/>
      <c r="F65" s="21">
        <f>'Stavební rozpočet'!J104</f>
        <v>0</v>
      </c>
      <c r="G65" s="21">
        <v>0</v>
      </c>
      <c r="H65" s="21">
        <f t="shared" si="0"/>
        <v>0</v>
      </c>
      <c r="I65" s="21">
        <f t="shared" si="1"/>
        <v>0</v>
      </c>
      <c r="J65" s="21">
        <f>'Stavební rozpočet'!F104</f>
        <v>33.12</v>
      </c>
      <c r="K65" s="21">
        <v>0</v>
      </c>
      <c r="L65" s="59">
        <v>33.12</v>
      </c>
      <c r="M65" s="67" t="str">
        <f t="shared" si="2"/>
        <v>Nefakturováno</v>
      </c>
      <c r="N65" s="21">
        <f t="shared" si="3"/>
        <v>0</v>
      </c>
      <c r="O65" s="21">
        <f t="shared" si="4"/>
        <v>-100</v>
      </c>
      <c r="AE65" s="21">
        <v>0</v>
      </c>
    </row>
    <row r="66" spans="1:31" ht="12.75">
      <c r="A66" s="14"/>
      <c r="B66" s="14" t="s">
        <v>8</v>
      </c>
      <c r="C66" s="14" t="s">
        <v>156</v>
      </c>
      <c r="D66" s="120" t="s">
        <v>211</v>
      </c>
      <c r="E66" s="121"/>
      <c r="F66" s="40">
        <f>SUM(F67:F67)</f>
        <v>0</v>
      </c>
      <c r="G66" s="40">
        <f>SUM(G67:G67)</f>
        <v>0</v>
      </c>
      <c r="H66" s="40">
        <f t="shared" si="0"/>
        <v>0</v>
      </c>
      <c r="I66" s="40">
        <f t="shared" si="1"/>
        <v>0</v>
      </c>
      <c r="J66" s="40">
        <f>SUM(J67:J67)</f>
        <v>24</v>
      </c>
      <c r="K66" s="40">
        <f>SUM(K67:K67)</f>
        <v>0</v>
      </c>
      <c r="L66" s="63">
        <f>J66-K66</f>
        <v>24</v>
      </c>
      <c r="M66" s="66" t="str">
        <f t="shared" si="2"/>
        <v>Nefakturováno</v>
      </c>
      <c r="N66" s="40">
        <f t="shared" si="3"/>
        <v>0</v>
      </c>
      <c r="O66" s="40">
        <f t="shared" si="4"/>
        <v>-100</v>
      </c>
      <c r="AE66" s="21">
        <v>0</v>
      </c>
    </row>
    <row r="67" spans="1:31" ht="12.75">
      <c r="A67" s="5" t="s">
        <v>45</v>
      </c>
      <c r="B67" s="5" t="s">
        <v>8</v>
      </c>
      <c r="C67" s="5" t="s">
        <v>157</v>
      </c>
      <c r="D67" s="122" t="s">
        <v>212</v>
      </c>
      <c r="E67" s="123"/>
      <c r="F67" s="21">
        <f>'Stavební rozpočet'!J107</f>
        <v>0</v>
      </c>
      <c r="G67" s="21">
        <v>0</v>
      </c>
      <c r="H67" s="21">
        <f t="shared" si="0"/>
        <v>0</v>
      </c>
      <c r="I67" s="21">
        <f t="shared" si="1"/>
        <v>0</v>
      </c>
      <c r="J67" s="21">
        <f>'Stavební rozpočet'!F107</f>
        <v>24</v>
      </c>
      <c r="K67" s="21">
        <v>0</v>
      </c>
      <c r="L67" s="59">
        <v>24</v>
      </c>
      <c r="M67" s="67" t="str">
        <f t="shared" si="2"/>
        <v>Nefakturováno</v>
      </c>
      <c r="N67" s="21">
        <f t="shared" si="3"/>
        <v>0</v>
      </c>
      <c r="O67" s="21">
        <f t="shared" si="4"/>
        <v>-100</v>
      </c>
      <c r="AE67" s="21">
        <v>0</v>
      </c>
    </row>
    <row r="68" spans="1:31" ht="12.75">
      <c r="A68" s="14"/>
      <c r="B68" s="14" t="s">
        <v>8</v>
      </c>
      <c r="C68" s="14" t="s">
        <v>70</v>
      </c>
      <c r="D68" s="120" t="s">
        <v>214</v>
      </c>
      <c r="E68" s="121"/>
      <c r="F68" s="40">
        <f>SUM(F69:F71)</f>
        <v>0</v>
      </c>
      <c r="G68" s="40">
        <f>SUM(G69:G71)</f>
        <v>0</v>
      </c>
      <c r="H68" s="40">
        <f t="shared" si="0"/>
        <v>0</v>
      </c>
      <c r="I68" s="40">
        <f t="shared" si="1"/>
        <v>0</v>
      </c>
      <c r="J68" s="40">
        <f>SUM(J69:J71)</f>
        <v>110.39999999999999</v>
      </c>
      <c r="K68" s="40">
        <f>SUM(K69:K71)</f>
        <v>0</v>
      </c>
      <c r="L68" s="63">
        <f>J68-K68</f>
        <v>110.39999999999999</v>
      </c>
      <c r="M68" s="66" t="str">
        <f t="shared" si="2"/>
        <v>Nefakturováno</v>
      </c>
      <c r="N68" s="40">
        <f t="shared" si="3"/>
        <v>0</v>
      </c>
      <c r="O68" s="40">
        <f t="shared" si="4"/>
        <v>-100</v>
      </c>
      <c r="AE68" s="21">
        <v>0</v>
      </c>
    </row>
    <row r="69" spans="1:31" ht="12.75">
      <c r="A69" s="5" t="s">
        <v>46</v>
      </c>
      <c r="B69" s="5" t="s">
        <v>8</v>
      </c>
      <c r="C69" s="5" t="s">
        <v>158</v>
      </c>
      <c r="D69" s="122" t="s">
        <v>215</v>
      </c>
      <c r="E69" s="123"/>
      <c r="F69" s="21">
        <f>'Stavební rozpočet'!J110</f>
        <v>0</v>
      </c>
      <c r="G69" s="21">
        <v>0</v>
      </c>
      <c r="H69" s="21">
        <f t="shared" si="0"/>
        <v>0</v>
      </c>
      <c r="I69" s="21">
        <f t="shared" si="1"/>
        <v>0</v>
      </c>
      <c r="J69" s="21">
        <f>'Stavební rozpočet'!F110</f>
        <v>12</v>
      </c>
      <c r="K69" s="21">
        <v>0</v>
      </c>
      <c r="L69" s="59">
        <v>12</v>
      </c>
      <c r="M69" s="67" t="str">
        <f t="shared" si="2"/>
        <v>Nefakturováno</v>
      </c>
      <c r="N69" s="21">
        <f t="shared" si="3"/>
        <v>0</v>
      </c>
      <c r="O69" s="21">
        <f t="shared" si="4"/>
        <v>-100</v>
      </c>
      <c r="AE69" s="21">
        <v>0</v>
      </c>
    </row>
    <row r="70" spans="1:31" ht="12.75">
      <c r="A70" s="5" t="s">
        <v>47</v>
      </c>
      <c r="B70" s="5" t="s">
        <v>8</v>
      </c>
      <c r="C70" s="5" t="s">
        <v>159</v>
      </c>
      <c r="D70" s="122" t="s">
        <v>217</v>
      </c>
      <c r="E70" s="123"/>
      <c r="F70" s="21">
        <f>'Stavební rozpočet'!J112</f>
        <v>0</v>
      </c>
      <c r="G70" s="21">
        <v>0</v>
      </c>
      <c r="H70" s="21">
        <f t="shared" si="0"/>
        <v>0</v>
      </c>
      <c r="I70" s="21">
        <f t="shared" si="1"/>
        <v>0</v>
      </c>
      <c r="J70" s="21">
        <f>'Stavební rozpočet'!F112</f>
        <v>82.8</v>
      </c>
      <c r="K70" s="21">
        <v>0</v>
      </c>
      <c r="L70" s="59">
        <v>82.8</v>
      </c>
      <c r="M70" s="67" t="str">
        <f t="shared" si="2"/>
        <v>Nefakturováno</v>
      </c>
      <c r="N70" s="21">
        <f t="shared" si="3"/>
        <v>0</v>
      </c>
      <c r="O70" s="21">
        <f t="shared" si="4"/>
        <v>-100</v>
      </c>
      <c r="AE70" s="21">
        <v>0</v>
      </c>
    </row>
    <row r="71" spans="1:31" ht="12.75">
      <c r="A71" s="5" t="s">
        <v>48</v>
      </c>
      <c r="B71" s="5" t="s">
        <v>8</v>
      </c>
      <c r="C71" s="5" t="s">
        <v>161</v>
      </c>
      <c r="D71" s="122" t="s">
        <v>221</v>
      </c>
      <c r="E71" s="123"/>
      <c r="F71" s="21">
        <f>'Stavební rozpočet'!J114</f>
        <v>0</v>
      </c>
      <c r="G71" s="21">
        <v>0</v>
      </c>
      <c r="H71" s="21">
        <f t="shared" si="0"/>
        <v>0</v>
      </c>
      <c r="I71" s="21">
        <f t="shared" si="1"/>
        <v>0</v>
      </c>
      <c r="J71" s="21">
        <f>'Stavební rozpočet'!F114</f>
        <v>15.6</v>
      </c>
      <c r="K71" s="21">
        <v>0</v>
      </c>
      <c r="L71" s="59">
        <v>15.6</v>
      </c>
      <c r="M71" s="67" t="str">
        <f t="shared" si="2"/>
        <v>Nefakturováno</v>
      </c>
      <c r="N71" s="21">
        <f t="shared" si="3"/>
        <v>0</v>
      </c>
      <c r="O71" s="21">
        <f t="shared" si="4"/>
        <v>-100</v>
      </c>
      <c r="AE71" s="21">
        <v>0</v>
      </c>
    </row>
    <row r="72" spans="1:31" ht="12.75">
      <c r="A72" s="14"/>
      <c r="B72" s="14" t="s">
        <v>8</v>
      </c>
      <c r="C72" s="14" t="s">
        <v>162</v>
      </c>
      <c r="D72" s="120" t="s">
        <v>223</v>
      </c>
      <c r="E72" s="121"/>
      <c r="F72" s="40">
        <f>SUM(F73:F74)</f>
        <v>0</v>
      </c>
      <c r="G72" s="40">
        <f>SUM(G73:G74)</f>
        <v>0</v>
      </c>
      <c r="H72" s="40">
        <f t="shared" si="0"/>
        <v>0</v>
      </c>
      <c r="I72" s="40">
        <f t="shared" si="1"/>
        <v>0</v>
      </c>
      <c r="J72" s="40">
        <f>SUM(J73:J74)</f>
        <v>43.2</v>
      </c>
      <c r="K72" s="40">
        <f>SUM(K73:K74)</f>
        <v>0</v>
      </c>
      <c r="L72" s="63">
        <f>J72-K72</f>
        <v>43.2</v>
      </c>
      <c r="M72" s="66" t="str">
        <f t="shared" si="2"/>
        <v>Nefakturováno</v>
      </c>
      <c r="N72" s="40">
        <f t="shared" si="3"/>
        <v>0</v>
      </c>
      <c r="O72" s="40">
        <f t="shared" si="4"/>
        <v>-100</v>
      </c>
      <c r="AE72" s="21">
        <v>0</v>
      </c>
    </row>
    <row r="73" spans="1:31" ht="12.75">
      <c r="A73" s="5" t="s">
        <v>49</v>
      </c>
      <c r="B73" s="5" t="s">
        <v>8</v>
      </c>
      <c r="C73" s="5" t="s">
        <v>163</v>
      </c>
      <c r="D73" s="122" t="s">
        <v>224</v>
      </c>
      <c r="E73" s="123"/>
      <c r="F73" s="21">
        <f>'Stavební rozpočet'!J117</f>
        <v>0</v>
      </c>
      <c r="G73" s="21">
        <v>0</v>
      </c>
      <c r="H73" s="21">
        <f t="shared" si="0"/>
        <v>0</v>
      </c>
      <c r="I73" s="21">
        <f t="shared" si="1"/>
        <v>0</v>
      </c>
      <c r="J73" s="21">
        <f>'Stavební rozpočet'!F117</f>
        <v>21.6</v>
      </c>
      <c r="K73" s="21">
        <v>0</v>
      </c>
      <c r="L73" s="59">
        <v>21.6</v>
      </c>
      <c r="M73" s="67" t="str">
        <f t="shared" si="2"/>
        <v>Nefakturováno</v>
      </c>
      <c r="N73" s="21">
        <f t="shared" si="3"/>
        <v>0</v>
      </c>
      <c r="O73" s="21">
        <f t="shared" si="4"/>
        <v>-100</v>
      </c>
      <c r="AE73" s="21">
        <v>0</v>
      </c>
    </row>
    <row r="74" spans="1:31" ht="12.75">
      <c r="A74" s="5" t="s">
        <v>50</v>
      </c>
      <c r="B74" s="5" t="s">
        <v>8</v>
      </c>
      <c r="C74" s="5" t="s">
        <v>164</v>
      </c>
      <c r="D74" s="122" t="s">
        <v>226</v>
      </c>
      <c r="E74" s="123"/>
      <c r="F74" s="21">
        <f>'Stavební rozpočet'!J119</f>
        <v>0</v>
      </c>
      <c r="G74" s="21">
        <v>0</v>
      </c>
      <c r="H74" s="21">
        <f t="shared" si="0"/>
        <v>0</v>
      </c>
      <c r="I74" s="21">
        <f t="shared" si="1"/>
        <v>0</v>
      </c>
      <c r="J74" s="21">
        <f>'Stavební rozpočet'!F119</f>
        <v>21.6</v>
      </c>
      <c r="K74" s="21">
        <v>0</v>
      </c>
      <c r="L74" s="59">
        <v>21.6</v>
      </c>
      <c r="M74" s="67" t="str">
        <f t="shared" si="2"/>
        <v>Nefakturováno</v>
      </c>
      <c r="N74" s="21">
        <f t="shared" si="3"/>
        <v>0</v>
      </c>
      <c r="O74" s="21">
        <f t="shared" si="4"/>
        <v>-100</v>
      </c>
      <c r="AE74" s="21">
        <v>0</v>
      </c>
    </row>
    <row r="75" spans="1:31" ht="12.75">
      <c r="A75" s="14"/>
      <c r="B75" s="14" t="s">
        <v>8</v>
      </c>
      <c r="C75" s="14" t="s">
        <v>165</v>
      </c>
      <c r="D75" s="120" t="s">
        <v>227</v>
      </c>
      <c r="E75" s="121"/>
      <c r="F75" s="40">
        <f>SUM(F76:F76)</f>
        <v>0</v>
      </c>
      <c r="G75" s="40">
        <f>SUM(G76:G76)</f>
        <v>0</v>
      </c>
      <c r="H75" s="40">
        <f aca="true" t="shared" si="5" ref="H75:H138">G75-F75</f>
        <v>0</v>
      </c>
      <c r="I75" s="40">
        <f aca="true" t="shared" si="6" ref="I75:I138">IF(F75=0,0,H75/F75*100)</f>
        <v>0</v>
      </c>
      <c r="J75" s="40">
        <f>SUM(J76:J76)</f>
        <v>12</v>
      </c>
      <c r="K75" s="40">
        <f>SUM(K76:K76)</f>
        <v>0</v>
      </c>
      <c r="L75" s="63">
        <f>J75-K75</f>
        <v>12</v>
      </c>
      <c r="M75" s="66" t="str">
        <f aca="true" t="shared" si="7" ref="M75:M138">IF(G75=0,"Nefakturováno",AE75)</f>
        <v>Nefakturováno</v>
      </c>
      <c r="N75" s="40">
        <f aca="true" t="shared" si="8" ref="N75:N138">AE75-G75</f>
        <v>0</v>
      </c>
      <c r="O75" s="40">
        <f aca="true" t="shared" si="9" ref="O75:O138">IF(G75&lt;&gt;0,N75/G75*100,-100)</f>
        <v>-100</v>
      </c>
      <c r="AE75" s="21">
        <v>0</v>
      </c>
    </row>
    <row r="76" spans="1:31" ht="12.75">
      <c r="A76" s="5" t="s">
        <v>51</v>
      </c>
      <c r="B76" s="5" t="s">
        <v>8</v>
      </c>
      <c r="C76" s="5" t="s">
        <v>167</v>
      </c>
      <c r="D76" s="122" t="s">
        <v>230</v>
      </c>
      <c r="E76" s="123"/>
      <c r="F76" s="21">
        <f>'Stavební rozpočet'!J122</f>
        <v>0</v>
      </c>
      <c r="G76" s="21">
        <v>0</v>
      </c>
      <c r="H76" s="21">
        <f t="shared" si="5"/>
        <v>0</v>
      </c>
      <c r="I76" s="21">
        <f t="shared" si="6"/>
        <v>0</v>
      </c>
      <c r="J76" s="21">
        <f>'Stavební rozpočet'!F122</f>
        <v>12</v>
      </c>
      <c r="K76" s="21">
        <v>0</v>
      </c>
      <c r="L76" s="59">
        <v>12</v>
      </c>
      <c r="M76" s="67" t="str">
        <f t="shared" si="7"/>
        <v>Nefakturováno</v>
      </c>
      <c r="N76" s="21">
        <f t="shared" si="8"/>
        <v>0</v>
      </c>
      <c r="O76" s="21">
        <f t="shared" si="9"/>
        <v>-100</v>
      </c>
      <c r="AE76" s="21">
        <v>0</v>
      </c>
    </row>
    <row r="77" spans="1:31" ht="12.75">
      <c r="A77" s="14"/>
      <c r="B77" s="14" t="s">
        <v>8</v>
      </c>
      <c r="C77" s="14" t="s">
        <v>176</v>
      </c>
      <c r="D77" s="120" t="s">
        <v>241</v>
      </c>
      <c r="E77" s="121"/>
      <c r="F77" s="40">
        <f>SUM(F78:F79)</f>
        <v>0</v>
      </c>
      <c r="G77" s="40">
        <f>SUM(G78:G79)</f>
        <v>0</v>
      </c>
      <c r="H77" s="40">
        <f t="shared" si="5"/>
        <v>0</v>
      </c>
      <c r="I77" s="40">
        <f t="shared" si="6"/>
        <v>0</v>
      </c>
      <c r="J77" s="40">
        <f>SUM(J78:J79)</f>
        <v>47.88</v>
      </c>
      <c r="K77" s="40">
        <f>SUM(K78:K79)</f>
        <v>0</v>
      </c>
      <c r="L77" s="63">
        <f>J77-K77</f>
        <v>47.88</v>
      </c>
      <c r="M77" s="66" t="str">
        <f t="shared" si="7"/>
        <v>Nefakturováno</v>
      </c>
      <c r="N77" s="40">
        <f t="shared" si="8"/>
        <v>0</v>
      </c>
      <c r="O77" s="40">
        <f t="shared" si="9"/>
        <v>-100</v>
      </c>
      <c r="AE77" s="21">
        <v>0</v>
      </c>
    </row>
    <row r="78" spans="1:31" ht="12.75">
      <c r="A78" s="5" t="s">
        <v>52</v>
      </c>
      <c r="B78" s="5" t="s">
        <v>8</v>
      </c>
      <c r="C78" s="5" t="s">
        <v>177</v>
      </c>
      <c r="D78" s="122" t="s">
        <v>242</v>
      </c>
      <c r="E78" s="123"/>
      <c r="F78" s="21">
        <f>'Stavební rozpočet'!J125</f>
        <v>0</v>
      </c>
      <c r="G78" s="21">
        <v>0</v>
      </c>
      <c r="H78" s="21">
        <f t="shared" si="5"/>
        <v>0</v>
      </c>
      <c r="I78" s="21">
        <f t="shared" si="6"/>
        <v>0</v>
      </c>
      <c r="J78" s="21">
        <f>'Stavební rozpočet'!F125</f>
        <v>35.88</v>
      </c>
      <c r="K78" s="21">
        <v>0</v>
      </c>
      <c r="L78" s="59">
        <v>35.88</v>
      </c>
      <c r="M78" s="67" t="str">
        <f t="shared" si="7"/>
        <v>Nefakturováno</v>
      </c>
      <c r="N78" s="21">
        <f t="shared" si="8"/>
        <v>0</v>
      </c>
      <c r="O78" s="21">
        <f t="shared" si="9"/>
        <v>-100</v>
      </c>
      <c r="AE78" s="21">
        <v>0</v>
      </c>
    </row>
    <row r="79" spans="1:31" ht="12.75">
      <c r="A79" s="6" t="s">
        <v>53</v>
      </c>
      <c r="B79" s="6" t="s">
        <v>8</v>
      </c>
      <c r="C79" s="6" t="s">
        <v>178</v>
      </c>
      <c r="D79" s="124" t="s">
        <v>244</v>
      </c>
      <c r="E79" s="125"/>
      <c r="F79" s="22">
        <f>'Stavební rozpočet'!J127</f>
        <v>0</v>
      </c>
      <c r="G79" s="22">
        <v>0</v>
      </c>
      <c r="H79" s="22">
        <f t="shared" si="5"/>
        <v>0</v>
      </c>
      <c r="I79" s="22">
        <f t="shared" si="6"/>
        <v>0</v>
      </c>
      <c r="J79" s="22">
        <f>'Stavební rozpočet'!F127</f>
        <v>12</v>
      </c>
      <c r="K79" s="22">
        <v>0</v>
      </c>
      <c r="L79" s="60">
        <v>12</v>
      </c>
      <c r="M79" s="68" t="str">
        <f t="shared" si="7"/>
        <v>Nefakturováno</v>
      </c>
      <c r="N79" s="22">
        <f t="shared" si="8"/>
        <v>0</v>
      </c>
      <c r="O79" s="22">
        <f t="shared" si="9"/>
        <v>-100</v>
      </c>
      <c r="AE79" s="22">
        <v>0</v>
      </c>
    </row>
    <row r="80" spans="1:31" ht="12.75">
      <c r="A80" s="14"/>
      <c r="B80" s="14" t="s">
        <v>8</v>
      </c>
      <c r="C80" s="14" t="s">
        <v>102</v>
      </c>
      <c r="D80" s="120" t="s">
        <v>245</v>
      </c>
      <c r="E80" s="121"/>
      <c r="F80" s="40">
        <f>SUM(F81:F84)</f>
        <v>0</v>
      </c>
      <c r="G80" s="40">
        <f>SUM(G81:G84)</f>
        <v>0</v>
      </c>
      <c r="H80" s="40">
        <f t="shared" si="5"/>
        <v>0</v>
      </c>
      <c r="I80" s="40">
        <f t="shared" si="6"/>
        <v>0</v>
      </c>
      <c r="J80" s="40">
        <f>SUM(J81:J84)</f>
        <v>133.614</v>
      </c>
      <c r="K80" s="40">
        <f>SUM(K81:K84)</f>
        <v>0</v>
      </c>
      <c r="L80" s="63">
        <f>J80-K80</f>
        <v>133.614</v>
      </c>
      <c r="M80" s="66" t="str">
        <f t="shared" si="7"/>
        <v>Nefakturováno</v>
      </c>
      <c r="N80" s="40">
        <f t="shared" si="8"/>
        <v>0</v>
      </c>
      <c r="O80" s="40">
        <f t="shared" si="9"/>
        <v>-100</v>
      </c>
      <c r="AE80" s="22">
        <v>0</v>
      </c>
    </row>
    <row r="81" spans="1:31" ht="12.75">
      <c r="A81" s="5" t="s">
        <v>54</v>
      </c>
      <c r="B81" s="5" t="s">
        <v>8</v>
      </c>
      <c r="C81" s="5" t="s">
        <v>179</v>
      </c>
      <c r="D81" s="122" t="s">
        <v>246</v>
      </c>
      <c r="E81" s="123"/>
      <c r="F81" s="21">
        <f>'Stavební rozpočet'!J130</f>
        <v>0</v>
      </c>
      <c r="G81" s="21">
        <v>0</v>
      </c>
      <c r="H81" s="21">
        <f t="shared" si="5"/>
        <v>0</v>
      </c>
      <c r="I81" s="21">
        <f t="shared" si="6"/>
        <v>0</v>
      </c>
      <c r="J81" s="21">
        <f>'Stavební rozpočet'!F130</f>
        <v>72</v>
      </c>
      <c r="K81" s="21">
        <v>0</v>
      </c>
      <c r="L81" s="59">
        <v>72</v>
      </c>
      <c r="M81" s="67" t="str">
        <f t="shared" si="7"/>
        <v>Nefakturováno</v>
      </c>
      <c r="N81" s="21">
        <f t="shared" si="8"/>
        <v>0</v>
      </c>
      <c r="O81" s="21">
        <f t="shared" si="9"/>
        <v>-100</v>
      </c>
      <c r="AE81" s="21">
        <v>0</v>
      </c>
    </row>
    <row r="82" spans="1:31" ht="12.75">
      <c r="A82" s="5" t="s">
        <v>55</v>
      </c>
      <c r="B82" s="5" t="s">
        <v>8</v>
      </c>
      <c r="C82" s="5" t="s">
        <v>180</v>
      </c>
      <c r="D82" s="122" t="s">
        <v>248</v>
      </c>
      <c r="E82" s="123"/>
      <c r="F82" s="21">
        <f>'Stavební rozpočet'!J132</f>
        <v>0</v>
      </c>
      <c r="G82" s="21">
        <v>0</v>
      </c>
      <c r="H82" s="21">
        <f t="shared" si="5"/>
        <v>0</v>
      </c>
      <c r="I82" s="21">
        <f t="shared" si="6"/>
        <v>0</v>
      </c>
      <c r="J82" s="21">
        <f>'Stavební rozpočet'!F132</f>
        <v>31.464</v>
      </c>
      <c r="K82" s="21">
        <v>0</v>
      </c>
      <c r="L82" s="59">
        <v>31.464</v>
      </c>
      <c r="M82" s="67" t="str">
        <f t="shared" si="7"/>
        <v>Nefakturováno</v>
      </c>
      <c r="N82" s="21">
        <f t="shared" si="8"/>
        <v>0</v>
      </c>
      <c r="O82" s="21">
        <f t="shared" si="9"/>
        <v>-100</v>
      </c>
      <c r="AE82" s="21">
        <v>0</v>
      </c>
    </row>
    <row r="83" spans="1:31" ht="12.75">
      <c r="A83" s="5" t="s">
        <v>56</v>
      </c>
      <c r="B83" s="5" t="s">
        <v>8</v>
      </c>
      <c r="C83" s="5" t="s">
        <v>183</v>
      </c>
      <c r="D83" s="122" t="s">
        <v>254</v>
      </c>
      <c r="E83" s="123"/>
      <c r="F83" s="21">
        <f>'Stavební rozpočet'!J134</f>
        <v>0</v>
      </c>
      <c r="G83" s="21">
        <v>0</v>
      </c>
      <c r="H83" s="21">
        <f t="shared" si="5"/>
        <v>0</v>
      </c>
      <c r="I83" s="21">
        <f t="shared" si="6"/>
        <v>0</v>
      </c>
      <c r="J83" s="21">
        <f>'Stavební rozpočet'!F134</f>
        <v>6</v>
      </c>
      <c r="K83" s="21">
        <v>0</v>
      </c>
      <c r="L83" s="59">
        <v>6</v>
      </c>
      <c r="M83" s="67" t="str">
        <f t="shared" si="7"/>
        <v>Nefakturováno</v>
      </c>
      <c r="N83" s="21">
        <f t="shared" si="8"/>
        <v>0</v>
      </c>
      <c r="O83" s="21">
        <f t="shared" si="9"/>
        <v>-100</v>
      </c>
      <c r="AE83" s="21">
        <v>0</v>
      </c>
    </row>
    <row r="84" spans="1:31" ht="12.75">
      <c r="A84" s="5" t="s">
        <v>57</v>
      </c>
      <c r="B84" s="5" t="s">
        <v>8</v>
      </c>
      <c r="C84" s="5" t="s">
        <v>184</v>
      </c>
      <c r="D84" s="122" t="s">
        <v>256</v>
      </c>
      <c r="E84" s="123"/>
      <c r="F84" s="21">
        <f>'Stavební rozpočet'!J136</f>
        <v>0</v>
      </c>
      <c r="G84" s="21">
        <v>0</v>
      </c>
      <c r="H84" s="21">
        <f t="shared" si="5"/>
        <v>0</v>
      </c>
      <c r="I84" s="21">
        <f t="shared" si="6"/>
        <v>0</v>
      </c>
      <c r="J84" s="21">
        <f>'Stavební rozpočet'!F136</f>
        <v>24.15</v>
      </c>
      <c r="K84" s="21">
        <v>0</v>
      </c>
      <c r="L84" s="59">
        <v>24.15</v>
      </c>
      <c r="M84" s="67" t="str">
        <f t="shared" si="7"/>
        <v>Nefakturováno</v>
      </c>
      <c r="N84" s="21">
        <f t="shared" si="8"/>
        <v>0</v>
      </c>
      <c r="O84" s="21">
        <f t="shared" si="9"/>
        <v>-100</v>
      </c>
      <c r="AE84" s="21">
        <v>0</v>
      </c>
    </row>
    <row r="85" spans="1:31" ht="12.75">
      <c r="A85" s="14"/>
      <c r="B85" s="14" t="s">
        <v>8</v>
      </c>
      <c r="C85" s="14" t="s">
        <v>185</v>
      </c>
      <c r="D85" s="120" t="s">
        <v>258</v>
      </c>
      <c r="E85" s="121"/>
      <c r="F85" s="40">
        <f>SUM(F86:F87)</f>
        <v>0</v>
      </c>
      <c r="G85" s="40">
        <f>SUM(G86:G87)</f>
        <v>0</v>
      </c>
      <c r="H85" s="40">
        <f t="shared" si="5"/>
        <v>0</v>
      </c>
      <c r="I85" s="40">
        <f t="shared" si="6"/>
        <v>0</v>
      </c>
      <c r="J85" s="40">
        <f>SUM(J86:J87)</f>
        <v>225.12</v>
      </c>
      <c r="K85" s="40">
        <f>SUM(K86:K87)</f>
        <v>0</v>
      </c>
      <c r="L85" s="63">
        <f>J85-K85</f>
        <v>225.12</v>
      </c>
      <c r="M85" s="66" t="str">
        <f t="shared" si="7"/>
        <v>Nefakturováno</v>
      </c>
      <c r="N85" s="40">
        <f t="shared" si="8"/>
        <v>0</v>
      </c>
      <c r="O85" s="40">
        <f t="shared" si="9"/>
        <v>-100</v>
      </c>
      <c r="AE85" s="21">
        <v>0</v>
      </c>
    </row>
    <row r="86" spans="1:31" ht="12.75">
      <c r="A86" s="5" t="s">
        <v>58</v>
      </c>
      <c r="B86" s="5" t="s">
        <v>8</v>
      </c>
      <c r="C86" s="5" t="s">
        <v>186</v>
      </c>
      <c r="D86" s="122" t="s">
        <v>259</v>
      </c>
      <c r="E86" s="123"/>
      <c r="F86" s="21">
        <f>'Stavební rozpočet'!J139</f>
        <v>0</v>
      </c>
      <c r="G86" s="21">
        <v>0</v>
      </c>
      <c r="H86" s="21">
        <f t="shared" si="5"/>
        <v>0</v>
      </c>
      <c r="I86" s="21">
        <f t="shared" si="6"/>
        <v>0</v>
      </c>
      <c r="J86" s="21">
        <f>'Stavební rozpočet'!F139</f>
        <v>10.72</v>
      </c>
      <c r="K86" s="21">
        <v>0</v>
      </c>
      <c r="L86" s="59">
        <v>10.72</v>
      </c>
      <c r="M86" s="67" t="str">
        <f t="shared" si="7"/>
        <v>Nefakturováno</v>
      </c>
      <c r="N86" s="21">
        <f t="shared" si="8"/>
        <v>0</v>
      </c>
      <c r="O86" s="21">
        <f t="shared" si="9"/>
        <v>-100</v>
      </c>
      <c r="AE86" s="21">
        <v>0</v>
      </c>
    </row>
    <row r="87" spans="1:31" ht="12.75">
      <c r="A87" s="5" t="s">
        <v>59</v>
      </c>
      <c r="B87" s="5" t="s">
        <v>8</v>
      </c>
      <c r="C87" s="5" t="s">
        <v>187</v>
      </c>
      <c r="D87" s="122" t="s">
        <v>261</v>
      </c>
      <c r="E87" s="123"/>
      <c r="F87" s="21">
        <f>'Stavební rozpočet'!J141</f>
        <v>0</v>
      </c>
      <c r="G87" s="21">
        <v>0</v>
      </c>
      <c r="H87" s="21">
        <f t="shared" si="5"/>
        <v>0</v>
      </c>
      <c r="I87" s="21">
        <f t="shared" si="6"/>
        <v>0</v>
      </c>
      <c r="J87" s="21">
        <f>'Stavební rozpočet'!F141</f>
        <v>214.4</v>
      </c>
      <c r="K87" s="21">
        <v>0</v>
      </c>
      <c r="L87" s="59">
        <v>214.4</v>
      </c>
      <c r="M87" s="67" t="str">
        <f t="shared" si="7"/>
        <v>Nefakturováno</v>
      </c>
      <c r="N87" s="21">
        <f t="shared" si="8"/>
        <v>0</v>
      </c>
      <c r="O87" s="21">
        <f t="shared" si="9"/>
        <v>-100</v>
      </c>
      <c r="AE87" s="21">
        <v>0</v>
      </c>
    </row>
    <row r="88" spans="1:31" ht="12.75">
      <c r="A88" s="14"/>
      <c r="B88" s="14" t="s">
        <v>8</v>
      </c>
      <c r="C88" s="14" t="s">
        <v>188</v>
      </c>
      <c r="D88" s="120" t="s">
        <v>227</v>
      </c>
      <c r="E88" s="121"/>
      <c r="F88" s="40">
        <f>SUM(F89:F89)</f>
        <v>0</v>
      </c>
      <c r="G88" s="40">
        <f>SUM(G89:G89)</f>
        <v>0</v>
      </c>
      <c r="H88" s="40">
        <f t="shared" si="5"/>
        <v>0</v>
      </c>
      <c r="I88" s="40">
        <f t="shared" si="6"/>
        <v>0</v>
      </c>
      <c r="J88" s="40">
        <f>SUM(J89:J89)</f>
        <v>10.72</v>
      </c>
      <c r="K88" s="40">
        <f>SUM(K89:K89)</f>
        <v>0</v>
      </c>
      <c r="L88" s="63">
        <f>J88-K88</f>
        <v>10.72</v>
      </c>
      <c r="M88" s="66" t="str">
        <f t="shared" si="7"/>
        <v>Nefakturováno</v>
      </c>
      <c r="N88" s="40">
        <f t="shared" si="8"/>
        <v>0</v>
      </c>
      <c r="O88" s="40">
        <f t="shared" si="9"/>
        <v>-100</v>
      </c>
      <c r="AE88" s="21">
        <v>0</v>
      </c>
    </row>
    <row r="89" spans="1:31" ht="12.75">
      <c r="A89" s="5" t="s">
        <v>60</v>
      </c>
      <c r="B89" s="5" t="s">
        <v>8</v>
      </c>
      <c r="C89" s="5" t="s">
        <v>189</v>
      </c>
      <c r="D89" s="122" t="s">
        <v>263</v>
      </c>
      <c r="E89" s="123"/>
      <c r="F89" s="21">
        <f>'Stavební rozpočet'!J144</f>
        <v>0</v>
      </c>
      <c r="G89" s="21">
        <v>0</v>
      </c>
      <c r="H89" s="21">
        <f t="shared" si="5"/>
        <v>0</v>
      </c>
      <c r="I89" s="21">
        <f t="shared" si="6"/>
        <v>0</v>
      </c>
      <c r="J89" s="21">
        <f>'Stavební rozpočet'!F144</f>
        <v>10.72</v>
      </c>
      <c r="K89" s="21">
        <v>0</v>
      </c>
      <c r="L89" s="59">
        <v>10.72</v>
      </c>
      <c r="M89" s="67" t="str">
        <f t="shared" si="7"/>
        <v>Nefakturováno</v>
      </c>
      <c r="N89" s="21">
        <f t="shared" si="8"/>
        <v>0</v>
      </c>
      <c r="O89" s="21">
        <f t="shared" si="9"/>
        <v>-100</v>
      </c>
      <c r="AE89" s="21">
        <v>0</v>
      </c>
    </row>
    <row r="90" spans="1:31" ht="12.75">
      <c r="A90" s="14"/>
      <c r="B90" s="14" t="s">
        <v>8</v>
      </c>
      <c r="C90" s="14" t="s">
        <v>190</v>
      </c>
      <c r="D90" s="120" t="s">
        <v>265</v>
      </c>
      <c r="E90" s="121"/>
      <c r="F90" s="40">
        <f>SUM(F91:F94)</f>
        <v>0</v>
      </c>
      <c r="G90" s="40">
        <f>SUM(G91:G94)</f>
        <v>0</v>
      </c>
      <c r="H90" s="40">
        <f t="shared" si="5"/>
        <v>0</v>
      </c>
      <c r="I90" s="40">
        <f t="shared" si="6"/>
        <v>0</v>
      </c>
      <c r="J90" s="40">
        <f>SUM(J91:J94)</f>
        <v>12.32</v>
      </c>
      <c r="K90" s="40">
        <f>SUM(K91:K94)</f>
        <v>0</v>
      </c>
      <c r="L90" s="63">
        <f>J90-K90</f>
        <v>12.32</v>
      </c>
      <c r="M90" s="66" t="str">
        <f t="shared" si="7"/>
        <v>Nefakturováno</v>
      </c>
      <c r="N90" s="40">
        <f t="shared" si="8"/>
        <v>0</v>
      </c>
      <c r="O90" s="40">
        <f t="shared" si="9"/>
        <v>-100</v>
      </c>
      <c r="AE90" s="21">
        <v>0</v>
      </c>
    </row>
    <row r="91" spans="1:31" ht="12.75">
      <c r="A91" s="5" t="s">
        <v>61</v>
      </c>
      <c r="B91" s="5" t="s">
        <v>8</v>
      </c>
      <c r="C91" s="5" t="s">
        <v>191</v>
      </c>
      <c r="D91" s="122" t="s">
        <v>266</v>
      </c>
      <c r="E91" s="123"/>
      <c r="F91" s="21">
        <f>'Stavební rozpočet'!J147</f>
        <v>0</v>
      </c>
      <c r="G91" s="21">
        <v>0</v>
      </c>
      <c r="H91" s="21">
        <f t="shared" si="5"/>
        <v>0</v>
      </c>
      <c r="I91" s="21">
        <f t="shared" si="6"/>
        <v>0</v>
      </c>
      <c r="J91" s="21">
        <f>'Stavební rozpočet'!F147</f>
        <v>3.08</v>
      </c>
      <c r="K91" s="21">
        <v>0</v>
      </c>
      <c r="L91" s="59">
        <v>3.08</v>
      </c>
      <c r="M91" s="67" t="str">
        <f t="shared" si="7"/>
        <v>Nefakturováno</v>
      </c>
      <c r="N91" s="21">
        <f t="shared" si="8"/>
        <v>0</v>
      </c>
      <c r="O91" s="21">
        <f t="shared" si="9"/>
        <v>-100</v>
      </c>
      <c r="AE91" s="21">
        <v>0</v>
      </c>
    </row>
    <row r="92" spans="1:31" ht="12.75">
      <c r="A92" s="5" t="s">
        <v>62</v>
      </c>
      <c r="B92" s="5" t="s">
        <v>8</v>
      </c>
      <c r="C92" s="5" t="s">
        <v>192</v>
      </c>
      <c r="D92" s="122" t="s">
        <v>268</v>
      </c>
      <c r="E92" s="123"/>
      <c r="F92" s="21">
        <f>'Stavební rozpočet'!J149</f>
        <v>0</v>
      </c>
      <c r="G92" s="21">
        <v>0</v>
      </c>
      <c r="H92" s="21">
        <f t="shared" si="5"/>
        <v>0</v>
      </c>
      <c r="I92" s="21">
        <f t="shared" si="6"/>
        <v>0</v>
      </c>
      <c r="J92" s="21">
        <f>'Stavební rozpočet'!F149</f>
        <v>3.08</v>
      </c>
      <c r="K92" s="21">
        <v>0</v>
      </c>
      <c r="L92" s="59">
        <v>3.08</v>
      </c>
      <c r="M92" s="67" t="str">
        <f t="shared" si="7"/>
        <v>Nefakturováno</v>
      </c>
      <c r="N92" s="21">
        <f t="shared" si="8"/>
        <v>0</v>
      </c>
      <c r="O92" s="21">
        <f t="shared" si="9"/>
        <v>-100</v>
      </c>
      <c r="AE92" s="21">
        <v>0</v>
      </c>
    </row>
    <row r="93" spans="1:31" ht="12.75">
      <c r="A93" s="5" t="s">
        <v>63</v>
      </c>
      <c r="B93" s="5" t="s">
        <v>8</v>
      </c>
      <c r="C93" s="5" t="s">
        <v>193</v>
      </c>
      <c r="D93" s="122" t="s">
        <v>270</v>
      </c>
      <c r="E93" s="123"/>
      <c r="F93" s="21">
        <f>'Stavební rozpočet'!J151</f>
        <v>0</v>
      </c>
      <c r="G93" s="21">
        <v>0</v>
      </c>
      <c r="H93" s="21">
        <f t="shared" si="5"/>
        <v>0</v>
      </c>
      <c r="I93" s="21">
        <f t="shared" si="6"/>
        <v>0</v>
      </c>
      <c r="J93" s="21">
        <f>'Stavební rozpočet'!F151</f>
        <v>3.08</v>
      </c>
      <c r="K93" s="21">
        <v>0</v>
      </c>
      <c r="L93" s="59">
        <v>3.08</v>
      </c>
      <c r="M93" s="67" t="str">
        <f t="shared" si="7"/>
        <v>Nefakturováno</v>
      </c>
      <c r="N93" s="21">
        <f t="shared" si="8"/>
        <v>0</v>
      </c>
      <c r="O93" s="21">
        <f t="shared" si="9"/>
        <v>-100</v>
      </c>
      <c r="AE93" s="21">
        <v>0</v>
      </c>
    </row>
    <row r="94" spans="1:31" ht="12.75">
      <c r="A94" s="5" t="s">
        <v>64</v>
      </c>
      <c r="B94" s="5" t="s">
        <v>8</v>
      </c>
      <c r="C94" s="5" t="s">
        <v>194</v>
      </c>
      <c r="D94" s="122" t="s">
        <v>271</v>
      </c>
      <c r="E94" s="123"/>
      <c r="F94" s="21">
        <f>'Stavební rozpočet'!J153</f>
        <v>0</v>
      </c>
      <c r="G94" s="21">
        <v>0</v>
      </c>
      <c r="H94" s="21">
        <f t="shared" si="5"/>
        <v>0</v>
      </c>
      <c r="I94" s="21">
        <f t="shared" si="6"/>
        <v>0</v>
      </c>
      <c r="J94" s="21">
        <f>'Stavební rozpočet'!F153</f>
        <v>3.08</v>
      </c>
      <c r="K94" s="21">
        <v>0</v>
      </c>
      <c r="L94" s="59">
        <v>3.08</v>
      </c>
      <c r="M94" s="67" t="str">
        <f t="shared" si="7"/>
        <v>Nefakturováno</v>
      </c>
      <c r="N94" s="21">
        <f t="shared" si="8"/>
        <v>0</v>
      </c>
      <c r="O94" s="21">
        <f t="shared" si="9"/>
        <v>-100</v>
      </c>
      <c r="AE94" s="21">
        <v>0</v>
      </c>
    </row>
    <row r="95" spans="1:31" ht="12.75">
      <c r="A95" s="15"/>
      <c r="B95" s="15" t="s">
        <v>9</v>
      </c>
      <c r="C95" s="15"/>
      <c r="D95" s="126" t="s">
        <v>289</v>
      </c>
      <c r="E95" s="127"/>
      <c r="F95" s="41">
        <f>F96+F98+F101+F103+F108+F111+F118+F121+F124+F127+F134+F137+F139</f>
        <v>0</v>
      </c>
      <c r="G95" s="41">
        <f>G96+G98+G101+G103+G108+G111+G118+G121+G124+G127+G134+G137+G139</f>
        <v>0</v>
      </c>
      <c r="H95" s="41">
        <f t="shared" si="5"/>
        <v>0</v>
      </c>
      <c r="I95" s="41">
        <f t="shared" si="6"/>
        <v>0</v>
      </c>
      <c r="J95" s="41">
        <f>J96+J98+J101+J103+J108+J111+J118+J121+J124+J127+J134+J137+J139</f>
        <v>742.301</v>
      </c>
      <c r="K95" s="41">
        <f>K96+K98+K101+K103+K108+K111+K118+K121+K124+K127+K134+K137+K139</f>
        <v>0</v>
      </c>
      <c r="L95" s="64">
        <f>J95-K95</f>
        <v>742.301</v>
      </c>
      <c r="M95" s="69" t="str">
        <f t="shared" si="7"/>
        <v>Nefakturováno</v>
      </c>
      <c r="N95" s="41">
        <f t="shared" si="8"/>
        <v>0</v>
      </c>
      <c r="O95" s="41">
        <f t="shared" si="9"/>
        <v>-100</v>
      </c>
      <c r="AE95" s="21">
        <v>0</v>
      </c>
    </row>
    <row r="96" spans="1:31" ht="12.75">
      <c r="A96" s="14"/>
      <c r="B96" s="14" t="s">
        <v>9</v>
      </c>
      <c r="C96" s="14" t="s">
        <v>40</v>
      </c>
      <c r="D96" s="120" t="s">
        <v>203</v>
      </c>
      <c r="E96" s="121"/>
      <c r="F96" s="40">
        <f>SUM(F97:F97)</f>
        <v>0</v>
      </c>
      <c r="G96" s="40">
        <f>SUM(G97:G97)</f>
        <v>0</v>
      </c>
      <c r="H96" s="40">
        <f t="shared" si="5"/>
        <v>0</v>
      </c>
      <c r="I96" s="40">
        <f t="shared" si="6"/>
        <v>0</v>
      </c>
      <c r="J96" s="40">
        <f>SUM(J97:J97)</f>
        <v>55.2</v>
      </c>
      <c r="K96" s="40">
        <f>SUM(K97:K97)</f>
        <v>0</v>
      </c>
      <c r="L96" s="63">
        <f>J96-K96</f>
        <v>55.2</v>
      </c>
      <c r="M96" s="66" t="str">
        <f t="shared" si="7"/>
        <v>Nefakturováno</v>
      </c>
      <c r="N96" s="40">
        <f t="shared" si="8"/>
        <v>0</v>
      </c>
      <c r="O96" s="40">
        <f t="shared" si="9"/>
        <v>-100</v>
      </c>
      <c r="AE96" s="21">
        <v>0</v>
      </c>
    </row>
    <row r="97" spans="1:31" ht="12.75">
      <c r="A97" s="5" t="s">
        <v>65</v>
      </c>
      <c r="B97" s="5" t="s">
        <v>9</v>
      </c>
      <c r="C97" s="5" t="s">
        <v>153</v>
      </c>
      <c r="D97" s="122" t="s">
        <v>204</v>
      </c>
      <c r="E97" s="123"/>
      <c r="F97" s="21">
        <f>'Stavební rozpočet'!J157</f>
        <v>0</v>
      </c>
      <c r="G97" s="21">
        <v>0</v>
      </c>
      <c r="H97" s="21">
        <f t="shared" si="5"/>
        <v>0</v>
      </c>
      <c r="I97" s="21">
        <f t="shared" si="6"/>
        <v>0</v>
      </c>
      <c r="J97" s="21">
        <f>'Stavební rozpočet'!F157</f>
        <v>55.2</v>
      </c>
      <c r="K97" s="21">
        <v>0</v>
      </c>
      <c r="L97" s="59">
        <v>55.2</v>
      </c>
      <c r="M97" s="67" t="str">
        <f t="shared" si="7"/>
        <v>Nefakturováno</v>
      </c>
      <c r="N97" s="21">
        <f t="shared" si="8"/>
        <v>0</v>
      </c>
      <c r="O97" s="21">
        <f t="shared" si="9"/>
        <v>-100</v>
      </c>
      <c r="AE97" s="21">
        <v>0</v>
      </c>
    </row>
    <row r="98" spans="1:31" ht="12.75">
      <c r="A98" s="14"/>
      <c r="B98" s="14" t="s">
        <v>9</v>
      </c>
      <c r="C98" s="14" t="s">
        <v>67</v>
      </c>
      <c r="D98" s="120" t="s">
        <v>206</v>
      </c>
      <c r="E98" s="121"/>
      <c r="F98" s="40">
        <f>SUM(F99:F100)</f>
        <v>0</v>
      </c>
      <c r="G98" s="40">
        <f>SUM(G99:G100)</f>
        <v>0</v>
      </c>
      <c r="H98" s="40">
        <f t="shared" si="5"/>
        <v>0</v>
      </c>
      <c r="I98" s="40">
        <f t="shared" si="6"/>
        <v>0</v>
      </c>
      <c r="J98" s="40">
        <f>SUM(J99:J100)</f>
        <v>63.7775</v>
      </c>
      <c r="K98" s="40">
        <f>SUM(K99:K100)</f>
        <v>0</v>
      </c>
      <c r="L98" s="63">
        <f>J98-K98</f>
        <v>63.7775</v>
      </c>
      <c r="M98" s="66" t="str">
        <f t="shared" si="7"/>
        <v>Nefakturováno</v>
      </c>
      <c r="N98" s="40">
        <f t="shared" si="8"/>
        <v>0</v>
      </c>
      <c r="O98" s="40">
        <f t="shared" si="9"/>
        <v>-100</v>
      </c>
      <c r="AE98" s="21">
        <v>0</v>
      </c>
    </row>
    <row r="99" spans="1:31" ht="12.75">
      <c r="A99" s="5" t="s">
        <v>66</v>
      </c>
      <c r="B99" s="5" t="s">
        <v>9</v>
      </c>
      <c r="C99" s="5" t="s">
        <v>154</v>
      </c>
      <c r="D99" s="122" t="s">
        <v>207</v>
      </c>
      <c r="E99" s="123"/>
      <c r="F99" s="21">
        <f>'Stavební rozpočet'!J160</f>
        <v>0</v>
      </c>
      <c r="G99" s="21">
        <v>0</v>
      </c>
      <c r="H99" s="21">
        <f t="shared" si="5"/>
        <v>0</v>
      </c>
      <c r="I99" s="21">
        <f t="shared" si="6"/>
        <v>0</v>
      </c>
      <c r="J99" s="21">
        <f>'Stavební rozpočet'!F160</f>
        <v>29.355</v>
      </c>
      <c r="K99" s="21">
        <v>0</v>
      </c>
      <c r="L99" s="59">
        <v>29.355</v>
      </c>
      <c r="M99" s="67" t="str">
        <f t="shared" si="7"/>
        <v>Nefakturováno</v>
      </c>
      <c r="N99" s="21">
        <f t="shared" si="8"/>
        <v>0</v>
      </c>
      <c r="O99" s="21">
        <f t="shared" si="9"/>
        <v>-100</v>
      </c>
      <c r="AE99" s="21">
        <v>0</v>
      </c>
    </row>
    <row r="100" spans="1:31" ht="12.75">
      <c r="A100" s="5" t="s">
        <v>67</v>
      </c>
      <c r="B100" s="5" t="s">
        <v>9</v>
      </c>
      <c r="C100" s="5" t="s">
        <v>155</v>
      </c>
      <c r="D100" s="122" t="s">
        <v>209</v>
      </c>
      <c r="E100" s="123"/>
      <c r="F100" s="21">
        <f>'Stavební rozpočet'!J162</f>
        <v>0</v>
      </c>
      <c r="G100" s="21">
        <v>0</v>
      </c>
      <c r="H100" s="21">
        <f t="shared" si="5"/>
        <v>0</v>
      </c>
      <c r="I100" s="21">
        <f t="shared" si="6"/>
        <v>0</v>
      </c>
      <c r="J100" s="21">
        <f>'Stavební rozpočet'!F162</f>
        <v>34.4225</v>
      </c>
      <c r="K100" s="21">
        <v>0</v>
      </c>
      <c r="L100" s="59">
        <v>34.4225</v>
      </c>
      <c r="M100" s="67" t="str">
        <f t="shared" si="7"/>
        <v>Nefakturováno</v>
      </c>
      <c r="N100" s="21">
        <f t="shared" si="8"/>
        <v>0</v>
      </c>
      <c r="O100" s="21">
        <f t="shared" si="9"/>
        <v>-100</v>
      </c>
      <c r="AE100" s="21">
        <v>0</v>
      </c>
    </row>
    <row r="101" spans="1:31" ht="12.75">
      <c r="A101" s="14"/>
      <c r="B101" s="14" t="s">
        <v>9</v>
      </c>
      <c r="C101" s="14" t="s">
        <v>156</v>
      </c>
      <c r="D101" s="120" t="s">
        <v>211</v>
      </c>
      <c r="E101" s="121"/>
      <c r="F101" s="40">
        <f>SUM(F102:F102)</f>
        <v>0</v>
      </c>
      <c r="G101" s="40">
        <f>SUM(G102:G102)</f>
        <v>0</v>
      </c>
      <c r="H101" s="40">
        <f t="shared" si="5"/>
        <v>0</v>
      </c>
      <c r="I101" s="40">
        <f t="shared" si="6"/>
        <v>0</v>
      </c>
      <c r="J101" s="40">
        <f>SUM(J102:J102)</f>
        <v>26</v>
      </c>
      <c r="K101" s="40">
        <f>SUM(K102:K102)</f>
        <v>0</v>
      </c>
      <c r="L101" s="63">
        <f>J101-K101</f>
        <v>26</v>
      </c>
      <c r="M101" s="66" t="str">
        <f t="shared" si="7"/>
        <v>Nefakturováno</v>
      </c>
      <c r="N101" s="40">
        <f t="shared" si="8"/>
        <v>0</v>
      </c>
      <c r="O101" s="40">
        <f t="shared" si="9"/>
        <v>-100</v>
      </c>
      <c r="AE101" s="21">
        <v>0</v>
      </c>
    </row>
    <row r="102" spans="1:31" ht="12.75">
      <c r="A102" s="5" t="s">
        <v>68</v>
      </c>
      <c r="B102" s="5" t="s">
        <v>9</v>
      </c>
      <c r="C102" s="5" t="s">
        <v>157</v>
      </c>
      <c r="D102" s="122" t="s">
        <v>212</v>
      </c>
      <c r="E102" s="123"/>
      <c r="F102" s="21">
        <f>'Stavební rozpočet'!J165</f>
        <v>0</v>
      </c>
      <c r="G102" s="21">
        <v>0</v>
      </c>
      <c r="H102" s="21">
        <f t="shared" si="5"/>
        <v>0</v>
      </c>
      <c r="I102" s="21">
        <f t="shared" si="6"/>
        <v>0</v>
      </c>
      <c r="J102" s="21">
        <f>'Stavební rozpočet'!F165</f>
        <v>26</v>
      </c>
      <c r="K102" s="21">
        <v>0</v>
      </c>
      <c r="L102" s="59">
        <v>26</v>
      </c>
      <c r="M102" s="67" t="str">
        <f t="shared" si="7"/>
        <v>Nefakturováno</v>
      </c>
      <c r="N102" s="21">
        <f t="shared" si="8"/>
        <v>0</v>
      </c>
      <c r="O102" s="21">
        <f t="shared" si="9"/>
        <v>-100</v>
      </c>
      <c r="AE102" s="21">
        <v>0</v>
      </c>
    </row>
    <row r="103" spans="1:31" ht="12.75">
      <c r="A103" s="14"/>
      <c r="B103" s="14" t="s">
        <v>9</v>
      </c>
      <c r="C103" s="14" t="s">
        <v>70</v>
      </c>
      <c r="D103" s="120" t="s">
        <v>214</v>
      </c>
      <c r="E103" s="121"/>
      <c r="F103" s="40">
        <f>SUM(F104:F107)</f>
        <v>0</v>
      </c>
      <c r="G103" s="40">
        <f>SUM(G104:G107)</f>
        <v>0</v>
      </c>
      <c r="H103" s="40">
        <f t="shared" si="5"/>
        <v>0</v>
      </c>
      <c r="I103" s="40">
        <f t="shared" si="6"/>
        <v>0</v>
      </c>
      <c r="J103" s="40">
        <f>SUM(J104:J107)</f>
        <v>113.35</v>
      </c>
      <c r="K103" s="40">
        <f>SUM(K104:K107)</f>
        <v>0</v>
      </c>
      <c r="L103" s="63">
        <f>J103-K103</f>
        <v>113.35</v>
      </c>
      <c r="M103" s="66" t="str">
        <f t="shared" si="7"/>
        <v>Nefakturováno</v>
      </c>
      <c r="N103" s="40">
        <f t="shared" si="8"/>
        <v>0</v>
      </c>
      <c r="O103" s="40">
        <f t="shared" si="9"/>
        <v>-100</v>
      </c>
      <c r="AE103" s="21">
        <v>0</v>
      </c>
    </row>
    <row r="104" spans="1:31" ht="12.75">
      <c r="A104" s="5" t="s">
        <v>69</v>
      </c>
      <c r="B104" s="5" t="s">
        <v>9</v>
      </c>
      <c r="C104" s="5" t="s">
        <v>158</v>
      </c>
      <c r="D104" s="122" t="s">
        <v>215</v>
      </c>
      <c r="E104" s="123"/>
      <c r="F104" s="21">
        <f>'Stavební rozpočet'!J168</f>
        <v>0</v>
      </c>
      <c r="G104" s="21">
        <v>0</v>
      </c>
      <c r="H104" s="21">
        <f t="shared" si="5"/>
        <v>0</v>
      </c>
      <c r="I104" s="21">
        <f t="shared" si="6"/>
        <v>0</v>
      </c>
      <c r="J104" s="21">
        <f>'Stavební rozpočet'!F168</f>
        <v>11</v>
      </c>
      <c r="K104" s="21">
        <v>0</v>
      </c>
      <c r="L104" s="59">
        <v>11</v>
      </c>
      <c r="M104" s="67" t="str">
        <f t="shared" si="7"/>
        <v>Nefakturováno</v>
      </c>
      <c r="N104" s="21">
        <f t="shared" si="8"/>
        <v>0</v>
      </c>
      <c r="O104" s="21">
        <f t="shared" si="9"/>
        <v>-100</v>
      </c>
      <c r="AE104" s="21">
        <v>0</v>
      </c>
    </row>
    <row r="105" spans="1:31" ht="12.75">
      <c r="A105" s="5" t="s">
        <v>70</v>
      </c>
      <c r="B105" s="5" t="s">
        <v>9</v>
      </c>
      <c r="C105" s="5" t="s">
        <v>159</v>
      </c>
      <c r="D105" s="122" t="s">
        <v>217</v>
      </c>
      <c r="E105" s="123"/>
      <c r="F105" s="21">
        <f>'Stavební rozpočet'!J170</f>
        <v>0</v>
      </c>
      <c r="G105" s="21">
        <v>0</v>
      </c>
      <c r="H105" s="21">
        <f t="shared" si="5"/>
        <v>0</v>
      </c>
      <c r="I105" s="21">
        <f t="shared" si="6"/>
        <v>0</v>
      </c>
      <c r="J105" s="21">
        <f>'Stavební rozpočet'!F170</f>
        <v>83.75</v>
      </c>
      <c r="K105" s="21">
        <v>0</v>
      </c>
      <c r="L105" s="59">
        <v>83.75</v>
      </c>
      <c r="M105" s="67" t="str">
        <f t="shared" si="7"/>
        <v>Nefakturováno</v>
      </c>
      <c r="N105" s="21">
        <f t="shared" si="8"/>
        <v>0</v>
      </c>
      <c r="O105" s="21">
        <f t="shared" si="9"/>
        <v>-100</v>
      </c>
      <c r="AE105" s="21">
        <v>0</v>
      </c>
    </row>
    <row r="106" spans="1:31" ht="12.75">
      <c r="A106" s="5" t="s">
        <v>71</v>
      </c>
      <c r="B106" s="5" t="s">
        <v>9</v>
      </c>
      <c r="C106" s="5" t="s">
        <v>160</v>
      </c>
      <c r="D106" s="122" t="s">
        <v>220</v>
      </c>
      <c r="E106" s="123"/>
      <c r="F106" s="21">
        <f>'Stavební rozpočet'!J173</f>
        <v>0</v>
      </c>
      <c r="G106" s="21">
        <v>0</v>
      </c>
      <c r="H106" s="21">
        <f t="shared" si="5"/>
        <v>0</v>
      </c>
      <c r="I106" s="21">
        <f t="shared" si="6"/>
        <v>0</v>
      </c>
      <c r="J106" s="21">
        <f>'Stavební rozpočet'!F173</f>
        <v>1</v>
      </c>
      <c r="K106" s="21">
        <v>0</v>
      </c>
      <c r="L106" s="59">
        <v>1</v>
      </c>
      <c r="M106" s="67" t="str">
        <f t="shared" si="7"/>
        <v>Nefakturováno</v>
      </c>
      <c r="N106" s="21">
        <f t="shared" si="8"/>
        <v>0</v>
      </c>
      <c r="O106" s="21">
        <f t="shared" si="9"/>
        <v>-100</v>
      </c>
      <c r="AE106" s="21">
        <v>0</v>
      </c>
    </row>
    <row r="107" spans="1:31" ht="12.75">
      <c r="A107" s="5" t="s">
        <v>72</v>
      </c>
      <c r="B107" s="5" t="s">
        <v>9</v>
      </c>
      <c r="C107" s="5" t="s">
        <v>161</v>
      </c>
      <c r="D107" s="122" t="s">
        <v>221</v>
      </c>
      <c r="E107" s="123"/>
      <c r="F107" s="21">
        <f>'Stavební rozpočet'!J175</f>
        <v>0</v>
      </c>
      <c r="G107" s="21">
        <v>0</v>
      </c>
      <c r="H107" s="21">
        <f t="shared" si="5"/>
        <v>0</v>
      </c>
      <c r="I107" s="21">
        <f t="shared" si="6"/>
        <v>0</v>
      </c>
      <c r="J107" s="21">
        <f>'Stavební rozpočet'!F175</f>
        <v>17.6</v>
      </c>
      <c r="K107" s="21">
        <v>0</v>
      </c>
      <c r="L107" s="59">
        <v>17.6</v>
      </c>
      <c r="M107" s="67" t="str">
        <f t="shared" si="7"/>
        <v>Nefakturováno</v>
      </c>
      <c r="N107" s="21">
        <f t="shared" si="8"/>
        <v>0</v>
      </c>
      <c r="O107" s="21">
        <f t="shared" si="9"/>
        <v>-100</v>
      </c>
      <c r="AE107" s="21">
        <v>0</v>
      </c>
    </row>
    <row r="108" spans="1:31" ht="12.75">
      <c r="A108" s="14"/>
      <c r="B108" s="14" t="s">
        <v>9</v>
      </c>
      <c r="C108" s="14" t="s">
        <v>162</v>
      </c>
      <c r="D108" s="120" t="s">
        <v>223</v>
      </c>
      <c r="E108" s="121"/>
      <c r="F108" s="40">
        <f>SUM(F109:F110)</f>
        <v>0</v>
      </c>
      <c r="G108" s="40">
        <f>SUM(G109:G110)</f>
        <v>0</v>
      </c>
      <c r="H108" s="40">
        <f t="shared" si="5"/>
        <v>0</v>
      </c>
      <c r="I108" s="40">
        <f t="shared" si="6"/>
        <v>0</v>
      </c>
      <c r="J108" s="40">
        <f>SUM(J109:J110)</f>
        <v>43.2</v>
      </c>
      <c r="K108" s="40">
        <f>SUM(K109:K110)</f>
        <v>0</v>
      </c>
      <c r="L108" s="63">
        <f>J108-K108</f>
        <v>43.2</v>
      </c>
      <c r="M108" s="66" t="str">
        <f t="shared" si="7"/>
        <v>Nefakturováno</v>
      </c>
      <c r="N108" s="40">
        <f t="shared" si="8"/>
        <v>0</v>
      </c>
      <c r="O108" s="40">
        <f t="shared" si="9"/>
        <v>-100</v>
      </c>
      <c r="AE108" s="21">
        <v>0</v>
      </c>
    </row>
    <row r="109" spans="1:31" ht="12.75">
      <c r="A109" s="5" t="s">
        <v>73</v>
      </c>
      <c r="B109" s="5" t="s">
        <v>9</v>
      </c>
      <c r="C109" s="5" t="s">
        <v>163</v>
      </c>
      <c r="D109" s="122" t="s">
        <v>224</v>
      </c>
      <c r="E109" s="123"/>
      <c r="F109" s="21">
        <f>'Stavební rozpočet'!J178</f>
        <v>0</v>
      </c>
      <c r="G109" s="21">
        <v>0</v>
      </c>
      <c r="H109" s="21">
        <f t="shared" si="5"/>
        <v>0</v>
      </c>
      <c r="I109" s="21">
        <f t="shared" si="6"/>
        <v>0</v>
      </c>
      <c r="J109" s="21">
        <f>'Stavební rozpočet'!F178</f>
        <v>21.6</v>
      </c>
      <c r="K109" s="21">
        <v>0</v>
      </c>
      <c r="L109" s="59">
        <v>21.6</v>
      </c>
      <c r="M109" s="67" t="str">
        <f t="shared" si="7"/>
        <v>Nefakturováno</v>
      </c>
      <c r="N109" s="21">
        <f t="shared" si="8"/>
        <v>0</v>
      </c>
      <c r="O109" s="21">
        <f t="shared" si="9"/>
        <v>-100</v>
      </c>
      <c r="AE109" s="21">
        <v>0</v>
      </c>
    </row>
    <row r="110" spans="1:31" ht="12.75">
      <c r="A110" s="5" t="s">
        <v>74</v>
      </c>
      <c r="B110" s="5" t="s">
        <v>9</v>
      </c>
      <c r="C110" s="5" t="s">
        <v>164</v>
      </c>
      <c r="D110" s="122" t="s">
        <v>226</v>
      </c>
      <c r="E110" s="123"/>
      <c r="F110" s="21">
        <f>'Stavební rozpočet'!J180</f>
        <v>0</v>
      </c>
      <c r="G110" s="21">
        <v>0</v>
      </c>
      <c r="H110" s="21">
        <f t="shared" si="5"/>
        <v>0</v>
      </c>
      <c r="I110" s="21">
        <f t="shared" si="6"/>
        <v>0</v>
      </c>
      <c r="J110" s="21">
        <f>'Stavební rozpočet'!F180</f>
        <v>21.6</v>
      </c>
      <c r="K110" s="21">
        <v>0</v>
      </c>
      <c r="L110" s="59">
        <v>21.6</v>
      </c>
      <c r="M110" s="67" t="str">
        <f t="shared" si="7"/>
        <v>Nefakturováno</v>
      </c>
      <c r="N110" s="21">
        <f t="shared" si="8"/>
        <v>0</v>
      </c>
      <c r="O110" s="21">
        <f t="shared" si="9"/>
        <v>-100</v>
      </c>
      <c r="AE110" s="21">
        <v>0</v>
      </c>
    </row>
    <row r="111" spans="1:31" ht="12.75">
      <c r="A111" s="14"/>
      <c r="B111" s="14" t="s">
        <v>9</v>
      </c>
      <c r="C111" s="14" t="s">
        <v>165</v>
      </c>
      <c r="D111" s="120" t="s">
        <v>227</v>
      </c>
      <c r="E111" s="121"/>
      <c r="F111" s="40">
        <f>SUM(F112:F117)</f>
        <v>0</v>
      </c>
      <c r="G111" s="40">
        <f>SUM(G112:G117)</f>
        <v>0</v>
      </c>
      <c r="H111" s="40">
        <f t="shared" si="5"/>
        <v>0</v>
      </c>
      <c r="I111" s="40">
        <f t="shared" si="6"/>
        <v>0</v>
      </c>
      <c r="J111" s="40">
        <f>SUM(J112:J117)</f>
        <v>17</v>
      </c>
      <c r="K111" s="40">
        <f>SUM(K112:K117)</f>
        <v>0</v>
      </c>
      <c r="L111" s="63">
        <f>J111-K111</f>
        <v>17</v>
      </c>
      <c r="M111" s="66" t="str">
        <f t="shared" si="7"/>
        <v>Nefakturováno</v>
      </c>
      <c r="N111" s="40">
        <f t="shared" si="8"/>
        <v>0</v>
      </c>
      <c r="O111" s="40">
        <f t="shared" si="9"/>
        <v>-100</v>
      </c>
      <c r="AE111" s="21">
        <v>0</v>
      </c>
    </row>
    <row r="112" spans="1:31" ht="12.75">
      <c r="A112" s="5" t="s">
        <v>75</v>
      </c>
      <c r="B112" s="5" t="s">
        <v>9</v>
      </c>
      <c r="C112" s="5" t="s">
        <v>166</v>
      </c>
      <c r="D112" s="122" t="s">
        <v>229</v>
      </c>
      <c r="E112" s="123"/>
      <c r="F112" s="21">
        <f>'Stavební rozpočet'!J183</f>
        <v>0</v>
      </c>
      <c r="G112" s="21">
        <v>0</v>
      </c>
      <c r="H112" s="21">
        <f t="shared" si="5"/>
        <v>0</v>
      </c>
      <c r="I112" s="21">
        <f t="shared" si="6"/>
        <v>0</v>
      </c>
      <c r="J112" s="21">
        <f>'Stavební rozpočet'!F183</f>
        <v>1</v>
      </c>
      <c r="K112" s="21">
        <v>0</v>
      </c>
      <c r="L112" s="59">
        <v>1</v>
      </c>
      <c r="M112" s="67" t="str">
        <f t="shared" si="7"/>
        <v>Nefakturováno</v>
      </c>
      <c r="N112" s="21">
        <f t="shared" si="8"/>
        <v>0</v>
      </c>
      <c r="O112" s="21">
        <f t="shared" si="9"/>
        <v>-100</v>
      </c>
      <c r="AE112" s="21">
        <v>0</v>
      </c>
    </row>
    <row r="113" spans="1:31" ht="12.75">
      <c r="A113" s="5" t="s">
        <v>76</v>
      </c>
      <c r="B113" s="5" t="s">
        <v>9</v>
      </c>
      <c r="C113" s="5" t="s">
        <v>167</v>
      </c>
      <c r="D113" s="122" t="s">
        <v>230</v>
      </c>
      <c r="E113" s="123"/>
      <c r="F113" s="21">
        <f>'Stavební rozpočet'!J185</f>
        <v>0</v>
      </c>
      <c r="G113" s="21">
        <v>0</v>
      </c>
      <c r="H113" s="21">
        <f t="shared" si="5"/>
        <v>0</v>
      </c>
      <c r="I113" s="21">
        <f t="shared" si="6"/>
        <v>0</v>
      </c>
      <c r="J113" s="21">
        <f>'Stavební rozpočet'!F185</f>
        <v>8</v>
      </c>
      <c r="K113" s="21">
        <v>0</v>
      </c>
      <c r="L113" s="59">
        <v>8</v>
      </c>
      <c r="M113" s="67" t="str">
        <f t="shared" si="7"/>
        <v>Nefakturováno</v>
      </c>
      <c r="N113" s="21">
        <f t="shared" si="8"/>
        <v>0</v>
      </c>
      <c r="O113" s="21">
        <f t="shared" si="9"/>
        <v>-100</v>
      </c>
      <c r="AE113" s="21">
        <v>0</v>
      </c>
    </row>
    <row r="114" spans="1:31" ht="12.75">
      <c r="A114" s="5" t="s">
        <v>77</v>
      </c>
      <c r="B114" s="5" t="s">
        <v>9</v>
      </c>
      <c r="C114" s="5" t="s">
        <v>167</v>
      </c>
      <c r="D114" s="122" t="s">
        <v>298</v>
      </c>
      <c r="E114" s="123"/>
      <c r="F114" s="21">
        <f>'Stavební rozpočet'!J187</f>
        <v>0</v>
      </c>
      <c r="G114" s="21">
        <v>0</v>
      </c>
      <c r="H114" s="21">
        <f t="shared" si="5"/>
        <v>0</v>
      </c>
      <c r="I114" s="21">
        <f t="shared" si="6"/>
        <v>0</v>
      </c>
      <c r="J114" s="21">
        <f>'Stavební rozpočet'!F187</f>
        <v>3</v>
      </c>
      <c r="K114" s="21">
        <v>0</v>
      </c>
      <c r="L114" s="59">
        <v>3</v>
      </c>
      <c r="M114" s="67" t="str">
        <f t="shared" si="7"/>
        <v>Nefakturováno</v>
      </c>
      <c r="N114" s="21">
        <f t="shared" si="8"/>
        <v>0</v>
      </c>
      <c r="O114" s="21">
        <f t="shared" si="9"/>
        <v>-100</v>
      </c>
      <c r="AE114" s="21">
        <v>0</v>
      </c>
    </row>
    <row r="115" spans="1:31" ht="12.75">
      <c r="A115" s="5" t="s">
        <v>78</v>
      </c>
      <c r="B115" s="5" t="s">
        <v>9</v>
      </c>
      <c r="C115" s="5" t="s">
        <v>168</v>
      </c>
      <c r="D115" s="122" t="s">
        <v>232</v>
      </c>
      <c r="E115" s="123"/>
      <c r="F115" s="21">
        <f>'Stavební rozpočet'!J189</f>
        <v>0</v>
      </c>
      <c r="G115" s="21">
        <v>0</v>
      </c>
      <c r="H115" s="21">
        <f t="shared" si="5"/>
        <v>0</v>
      </c>
      <c r="I115" s="21">
        <f t="shared" si="6"/>
        <v>0</v>
      </c>
      <c r="J115" s="21">
        <f>'Stavební rozpočet'!F189</f>
        <v>2</v>
      </c>
      <c r="K115" s="21">
        <v>0</v>
      </c>
      <c r="L115" s="59">
        <v>2</v>
      </c>
      <c r="M115" s="67" t="str">
        <f t="shared" si="7"/>
        <v>Nefakturováno</v>
      </c>
      <c r="N115" s="21">
        <f t="shared" si="8"/>
        <v>0</v>
      </c>
      <c r="O115" s="21">
        <f t="shared" si="9"/>
        <v>-100</v>
      </c>
      <c r="AE115" s="21">
        <v>0</v>
      </c>
    </row>
    <row r="116" spans="1:31" ht="12.75">
      <c r="A116" s="5" t="s">
        <v>79</v>
      </c>
      <c r="B116" s="5" t="s">
        <v>9</v>
      </c>
      <c r="C116" s="5" t="s">
        <v>169</v>
      </c>
      <c r="D116" s="122" t="s">
        <v>233</v>
      </c>
      <c r="E116" s="123"/>
      <c r="F116" s="21">
        <f>'Stavební rozpočet'!J191</f>
        <v>0</v>
      </c>
      <c r="G116" s="21">
        <v>0</v>
      </c>
      <c r="H116" s="21">
        <f t="shared" si="5"/>
        <v>0</v>
      </c>
      <c r="I116" s="21">
        <f t="shared" si="6"/>
        <v>0</v>
      </c>
      <c r="J116" s="21">
        <f>'Stavební rozpočet'!F191</f>
        <v>2</v>
      </c>
      <c r="K116" s="21">
        <v>0</v>
      </c>
      <c r="L116" s="59">
        <v>2</v>
      </c>
      <c r="M116" s="67" t="str">
        <f t="shared" si="7"/>
        <v>Nefakturováno</v>
      </c>
      <c r="N116" s="21">
        <f t="shared" si="8"/>
        <v>0</v>
      </c>
      <c r="O116" s="21">
        <f t="shared" si="9"/>
        <v>-100</v>
      </c>
      <c r="AE116" s="21">
        <v>0</v>
      </c>
    </row>
    <row r="117" spans="1:31" ht="12.75">
      <c r="A117" s="5" t="s">
        <v>80</v>
      </c>
      <c r="B117" s="5" t="s">
        <v>9</v>
      </c>
      <c r="C117" s="5" t="s">
        <v>166</v>
      </c>
      <c r="D117" s="122" t="s">
        <v>299</v>
      </c>
      <c r="E117" s="123"/>
      <c r="F117" s="21">
        <f>'Stavební rozpočet'!J193</f>
        <v>0</v>
      </c>
      <c r="G117" s="21">
        <v>0</v>
      </c>
      <c r="H117" s="21">
        <f t="shared" si="5"/>
        <v>0</v>
      </c>
      <c r="I117" s="21">
        <f t="shared" si="6"/>
        <v>0</v>
      </c>
      <c r="J117" s="21">
        <f>'Stavební rozpočet'!F193</f>
        <v>1</v>
      </c>
      <c r="K117" s="21">
        <v>0</v>
      </c>
      <c r="L117" s="59">
        <v>1</v>
      </c>
      <c r="M117" s="67" t="str">
        <f t="shared" si="7"/>
        <v>Nefakturováno</v>
      </c>
      <c r="N117" s="21">
        <f t="shared" si="8"/>
        <v>0</v>
      </c>
      <c r="O117" s="21">
        <f t="shared" si="9"/>
        <v>-100</v>
      </c>
      <c r="AE117" s="21">
        <v>0</v>
      </c>
    </row>
    <row r="118" spans="1:31" ht="12.75">
      <c r="A118" s="14"/>
      <c r="B118" s="14" t="s">
        <v>9</v>
      </c>
      <c r="C118" s="14" t="s">
        <v>170</v>
      </c>
      <c r="D118" s="120" t="s">
        <v>234</v>
      </c>
      <c r="E118" s="121"/>
      <c r="F118" s="40">
        <f>SUM(F119:F120)</f>
        <v>0</v>
      </c>
      <c r="G118" s="40">
        <f>SUM(G119:G120)</f>
        <v>0</v>
      </c>
      <c r="H118" s="40">
        <f t="shared" si="5"/>
        <v>0</v>
      </c>
      <c r="I118" s="40">
        <f t="shared" si="6"/>
        <v>0</v>
      </c>
      <c r="J118" s="40">
        <f>SUM(J119:J120)</f>
        <v>4</v>
      </c>
      <c r="K118" s="40">
        <f>SUM(K119:K120)</f>
        <v>0</v>
      </c>
      <c r="L118" s="63">
        <f>J118-K118</f>
        <v>4</v>
      </c>
      <c r="M118" s="66" t="str">
        <f t="shared" si="7"/>
        <v>Nefakturováno</v>
      </c>
      <c r="N118" s="40">
        <f t="shared" si="8"/>
        <v>0</v>
      </c>
      <c r="O118" s="40">
        <f t="shared" si="9"/>
        <v>-100</v>
      </c>
      <c r="AE118" s="21">
        <v>0</v>
      </c>
    </row>
    <row r="119" spans="1:31" ht="12.75">
      <c r="A119" s="5" t="s">
        <v>81</v>
      </c>
      <c r="B119" s="5" t="s">
        <v>9</v>
      </c>
      <c r="C119" s="5" t="s">
        <v>171</v>
      </c>
      <c r="D119" s="122" t="s">
        <v>235</v>
      </c>
      <c r="E119" s="123"/>
      <c r="F119" s="21">
        <f>'Stavební rozpočet'!J196</f>
        <v>0</v>
      </c>
      <c r="G119" s="21">
        <v>0</v>
      </c>
      <c r="H119" s="21">
        <f t="shared" si="5"/>
        <v>0</v>
      </c>
      <c r="I119" s="21">
        <f t="shared" si="6"/>
        <v>0</v>
      </c>
      <c r="J119" s="21">
        <f>'Stavební rozpočet'!F196</f>
        <v>2</v>
      </c>
      <c r="K119" s="21">
        <v>0</v>
      </c>
      <c r="L119" s="59">
        <v>2</v>
      </c>
      <c r="M119" s="67" t="str">
        <f t="shared" si="7"/>
        <v>Nefakturováno</v>
      </c>
      <c r="N119" s="21">
        <f t="shared" si="8"/>
        <v>0</v>
      </c>
      <c r="O119" s="21">
        <f t="shared" si="9"/>
        <v>-100</v>
      </c>
      <c r="AE119" s="21">
        <v>0</v>
      </c>
    </row>
    <row r="120" spans="1:31" ht="12.75">
      <c r="A120" s="6" t="s">
        <v>82</v>
      </c>
      <c r="B120" s="6" t="s">
        <v>9</v>
      </c>
      <c r="C120" s="6" t="s">
        <v>172</v>
      </c>
      <c r="D120" s="124" t="s">
        <v>236</v>
      </c>
      <c r="E120" s="125"/>
      <c r="F120" s="22">
        <f>'Stavební rozpočet'!J198</f>
        <v>0</v>
      </c>
      <c r="G120" s="22">
        <v>0</v>
      </c>
      <c r="H120" s="22">
        <f t="shared" si="5"/>
        <v>0</v>
      </c>
      <c r="I120" s="22">
        <f t="shared" si="6"/>
        <v>0</v>
      </c>
      <c r="J120" s="22">
        <f>'Stavební rozpočet'!F198</f>
        <v>2</v>
      </c>
      <c r="K120" s="22">
        <v>0</v>
      </c>
      <c r="L120" s="60">
        <v>2</v>
      </c>
      <c r="M120" s="68" t="str">
        <f t="shared" si="7"/>
        <v>Nefakturováno</v>
      </c>
      <c r="N120" s="22">
        <f t="shared" si="8"/>
        <v>0</v>
      </c>
      <c r="O120" s="22">
        <f t="shared" si="9"/>
        <v>-100</v>
      </c>
      <c r="AE120" s="22">
        <v>0</v>
      </c>
    </row>
    <row r="121" spans="1:31" ht="12.75">
      <c r="A121" s="14"/>
      <c r="B121" s="14" t="s">
        <v>9</v>
      </c>
      <c r="C121" s="14" t="s">
        <v>173</v>
      </c>
      <c r="D121" s="120" t="s">
        <v>237</v>
      </c>
      <c r="E121" s="121"/>
      <c r="F121" s="40">
        <f>SUM(F122:F123)</f>
        <v>0</v>
      </c>
      <c r="G121" s="40">
        <f>SUM(G122:G123)</f>
        <v>0</v>
      </c>
      <c r="H121" s="40">
        <f t="shared" si="5"/>
        <v>0</v>
      </c>
      <c r="I121" s="40">
        <f t="shared" si="6"/>
        <v>0</v>
      </c>
      <c r="J121" s="40">
        <f>SUM(J122:J123)</f>
        <v>58.7</v>
      </c>
      <c r="K121" s="40">
        <f>SUM(K122:K123)</f>
        <v>0</v>
      </c>
      <c r="L121" s="63">
        <f>J121-K121</f>
        <v>58.7</v>
      </c>
      <c r="M121" s="66" t="str">
        <f t="shared" si="7"/>
        <v>Nefakturováno</v>
      </c>
      <c r="N121" s="40">
        <f t="shared" si="8"/>
        <v>0</v>
      </c>
      <c r="O121" s="40">
        <f t="shared" si="9"/>
        <v>-100</v>
      </c>
      <c r="AE121" s="22">
        <v>0</v>
      </c>
    </row>
    <row r="122" spans="1:31" ht="12.75">
      <c r="A122" s="5" t="s">
        <v>83</v>
      </c>
      <c r="B122" s="5" t="s">
        <v>9</v>
      </c>
      <c r="C122" s="5" t="s">
        <v>174</v>
      </c>
      <c r="D122" s="122" t="s">
        <v>238</v>
      </c>
      <c r="E122" s="123"/>
      <c r="F122" s="21">
        <f>'Stavební rozpočet'!J201</f>
        <v>0</v>
      </c>
      <c r="G122" s="21">
        <v>0</v>
      </c>
      <c r="H122" s="21">
        <f t="shared" si="5"/>
        <v>0</v>
      </c>
      <c r="I122" s="21">
        <f t="shared" si="6"/>
        <v>0</v>
      </c>
      <c r="J122" s="21">
        <f>'Stavební rozpočet'!F201</f>
        <v>29.35</v>
      </c>
      <c r="K122" s="21">
        <v>0</v>
      </c>
      <c r="L122" s="59">
        <v>29.35</v>
      </c>
      <c r="M122" s="67" t="str">
        <f t="shared" si="7"/>
        <v>Nefakturováno</v>
      </c>
      <c r="N122" s="21">
        <f t="shared" si="8"/>
        <v>0</v>
      </c>
      <c r="O122" s="21">
        <f t="shared" si="9"/>
        <v>-100</v>
      </c>
      <c r="AE122" s="21">
        <v>0</v>
      </c>
    </row>
    <row r="123" spans="1:31" ht="12.75">
      <c r="A123" s="5" t="s">
        <v>84</v>
      </c>
      <c r="B123" s="5" t="s">
        <v>9</v>
      </c>
      <c r="C123" s="5" t="s">
        <v>175</v>
      </c>
      <c r="D123" s="122" t="s">
        <v>240</v>
      </c>
      <c r="E123" s="123"/>
      <c r="F123" s="21">
        <f>'Stavební rozpočet'!J203</f>
        <v>0</v>
      </c>
      <c r="G123" s="21">
        <v>0</v>
      </c>
      <c r="H123" s="21">
        <f t="shared" si="5"/>
        <v>0</v>
      </c>
      <c r="I123" s="21">
        <f t="shared" si="6"/>
        <v>0</v>
      </c>
      <c r="J123" s="21">
        <f>'Stavební rozpočet'!F203</f>
        <v>29.35</v>
      </c>
      <c r="K123" s="21">
        <v>0</v>
      </c>
      <c r="L123" s="59">
        <v>29.35</v>
      </c>
      <c r="M123" s="67" t="str">
        <f t="shared" si="7"/>
        <v>Nefakturováno</v>
      </c>
      <c r="N123" s="21">
        <f t="shared" si="8"/>
        <v>0</v>
      </c>
      <c r="O123" s="21">
        <f t="shared" si="9"/>
        <v>-100</v>
      </c>
      <c r="AE123" s="21">
        <v>0</v>
      </c>
    </row>
    <row r="124" spans="1:31" ht="12.75">
      <c r="A124" s="14"/>
      <c r="B124" s="14" t="s">
        <v>9</v>
      </c>
      <c r="C124" s="14" t="s">
        <v>176</v>
      </c>
      <c r="D124" s="120" t="s">
        <v>241</v>
      </c>
      <c r="E124" s="121"/>
      <c r="F124" s="40">
        <f>SUM(F125:F126)</f>
        <v>0</v>
      </c>
      <c r="G124" s="40">
        <f>SUM(G125:G126)</f>
        <v>0</v>
      </c>
      <c r="H124" s="40">
        <f t="shared" si="5"/>
        <v>0</v>
      </c>
      <c r="I124" s="40">
        <f t="shared" si="6"/>
        <v>0</v>
      </c>
      <c r="J124" s="40">
        <f>SUM(J125:J126)</f>
        <v>31.92</v>
      </c>
      <c r="K124" s="40">
        <f>SUM(K125:K126)</f>
        <v>0</v>
      </c>
      <c r="L124" s="63">
        <f>J124-K124</f>
        <v>31.92</v>
      </c>
      <c r="M124" s="66" t="str">
        <f t="shared" si="7"/>
        <v>Nefakturováno</v>
      </c>
      <c r="N124" s="40">
        <f t="shared" si="8"/>
        <v>0</v>
      </c>
      <c r="O124" s="40">
        <f t="shared" si="9"/>
        <v>-100</v>
      </c>
      <c r="AE124" s="21">
        <v>0</v>
      </c>
    </row>
    <row r="125" spans="1:31" ht="12.75">
      <c r="A125" s="5" t="s">
        <v>85</v>
      </c>
      <c r="B125" s="5" t="s">
        <v>9</v>
      </c>
      <c r="C125" s="5" t="s">
        <v>177</v>
      </c>
      <c r="D125" s="122" t="s">
        <v>242</v>
      </c>
      <c r="E125" s="123"/>
      <c r="F125" s="21">
        <f>'Stavební rozpočet'!J206</f>
        <v>0</v>
      </c>
      <c r="G125" s="21">
        <v>0</v>
      </c>
      <c r="H125" s="21">
        <f t="shared" si="5"/>
        <v>0</v>
      </c>
      <c r="I125" s="21">
        <f t="shared" si="6"/>
        <v>0</v>
      </c>
      <c r="J125" s="21">
        <f>'Stavební rozpočet'!F206</f>
        <v>23.92</v>
      </c>
      <c r="K125" s="21">
        <v>0</v>
      </c>
      <c r="L125" s="59">
        <v>23.92</v>
      </c>
      <c r="M125" s="67" t="str">
        <f t="shared" si="7"/>
        <v>Nefakturováno</v>
      </c>
      <c r="N125" s="21">
        <f t="shared" si="8"/>
        <v>0</v>
      </c>
      <c r="O125" s="21">
        <f t="shared" si="9"/>
        <v>-100</v>
      </c>
      <c r="AE125" s="21">
        <v>0</v>
      </c>
    </row>
    <row r="126" spans="1:31" ht="12.75">
      <c r="A126" s="6" t="s">
        <v>86</v>
      </c>
      <c r="B126" s="6" t="s">
        <v>9</v>
      </c>
      <c r="C126" s="6" t="s">
        <v>178</v>
      </c>
      <c r="D126" s="124" t="s">
        <v>244</v>
      </c>
      <c r="E126" s="125"/>
      <c r="F126" s="22">
        <f>'Stavební rozpočet'!J208</f>
        <v>0</v>
      </c>
      <c r="G126" s="22">
        <v>0</v>
      </c>
      <c r="H126" s="22">
        <f t="shared" si="5"/>
        <v>0</v>
      </c>
      <c r="I126" s="22">
        <f t="shared" si="6"/>
        <v>0</v>
      </c>
      <c r="J126" s="22">
        <f>'Stavební rozpočet'!F208</f>
        <v>8</v>
      </c>
      <c r="K126" s="22">
        <v>0</v>
      </c>
      <c r="L126" s="60">
        <v>8</v>
      </c>
      <c r="M126" s="68" t="str">
        <f t="shared" si="7"/>
        <v>Nefakturováno</v>
      </c>
      <c r="N126" s="22">
        <f t="shared" si="8"/>
        <v>0</v>
      </c>
      <c r="O126" s="22">
        <f t="shared" si="9"/>
        <v>-100</v>
      </c>
      <c r="AE126" s="22">
        <v>0</v>
      </c>
    </row>
    <row r="127" spans="1:31" ht="12.75">
      <c r="A127" s="14"/>
      <c r="B127" s="14" t="s">
        <v>9</v>
      </c>
      <c r="C127" s="14" t="s">
        <v>102</v>
      </c>
      <c r="D127" s="120" t="s">
        <v>245</v>
      </c>
      <c r="E127" s="121"/>
      <c r="F127" s="40">
        <f>SUM(F128:F133)</f>
        <v>0</v>
      </c>
      <c r="G127" s="40">
        <f>SUM(G128:G133)</f>
        <v>0</v>
      </c>
      <c r="H127" s="40">
        <f t="shared" si="5"/>
        <v>0</v>
      </c>
      <c r="I127" s="40">
        <f t="shared" si="6"/>
        <v>0</v>
      </c>
      <c r="J127" s="40">
        <f>SUM(J128:J133)</f>
        <v>136.0735</v>
      </c>
      <c r="K127" s="40">
        <f>SUM(K128:K133)</f>
        <v>0</v>
      </c>
      <c r="L127" s="63">
        <f>J127-K127</f>
        <v>136.0735</v>
      </c>
      <c r="M127" s="66" t="str">
        <f t="shared" si="7"/>
        <v>Nefakturováno</v>
      </c>
      <c r="N127" s="40">
        <f t="shared" si="8"/>
        <v>0</v>
      </c>
      <c r="O127" s="40">
        <f t="shared" si="9"/>
        <v>-100</v>
      </c>
      <c r="AE127" s="22">
        <v>0</v>
      </c>
    </row>
    <row r="128" spans="1:31" ht="12.75">
      <c r="A128" s="5" t="s">
        <v>87</v>
      </c>
      <c r="B128" s="5" t="s">
        <v>9</v>
      </c>
      <c r="C128" s="5" t="s">
        <v>179</v>
      </c>
      <c r="D128" s="122" t="s">
        <v>246</v>
      </c>
      <c r="E128" s="123"/>
      <c r="F128" s="21">
        <f>'Stavební rozpočet'!J211</f>
        <v>0</v>
      </c>
      <c r="G128" s="21">
        <v>0</v>
      </c>
      <c r="H128" s="21">
        <f t="shared" si="5"/>
        <v>0</v>
      </c>
      <c r="I128" s="21">
        <f t="shared" si="6"/>
        <v>0</v>
      </c>
      <c r="J128" s="21">
        <f>'Stavební rozpočet'!F211</f>
        <v>72</v>
      </c>
      <c r="K128" s="21">
        <v>0</v>
      </c>
      <c r="L128" s="59">
        <v>72</v>
      </c>
      <c r="M128" s="67" t="str">
        <f t="shared" si="7"/>
        <v>Nefakturováno</v>
      </c>
      <c r="N128" s="21">
        <f t="shared" si="8"/>
        <v>0</v>
      </c>
      <c r="O128" s="21">
        <f t="shared" si="9"/>
        <v>-100</v>
      </c>
      <c r="AE128" s="21">
        <v>0</v>
      </c>
    </row>
    <row r="129" spans="1:31" ht="12.75">
      <c r="A129" s="5" t="s">
        <v>88</v>
      </c>
      <c r="B129" s="5" t="s">
        <v>9</v>
      </c>
      <c r="C129" s="5" t="s">
        <v>180</v>
      </c>
      <c r="D129" s="122" t="s">
        <v>248</v>
      </c>
      <c r="E129" s="123"/>
      <c r="F129" s="21">
        <f>'Stavební rozpočet'!J213</f>
        <v>0</v>
      </c>
      <c r="G129" s="21">
        <v>0</v>
      </c>
      <c r="H129" s="21">
        <f t="shared" si="5"/>
        <v>0</v>
      </c>
      <c r="I129" s="21">
        <f t="shared" si="6"/>
        <v>0</v>
      </c>
      <c r="J129" s="21">
        <f>'Stavební rozpočet'!F213</f>
        <v>28.896</v>
      </c>
      <c r="K129" s="21">
        <v>0</v>
      </c>
      <c r="L129" s="59">
        <v>28.896</v>
      </c>
      <c r="M129" s="67" t="str">
        <f t="shared" si="7"/>
        <v>Nefakturováno</v>
      </c>
      <c r="N129" s="21">
        <f t="shared" si="8"/>
        <v>0</v>
      </c>
      <c r="O129" s="21">
        <f t="shared" si="9"/>
        <v>-100</v>
      </c>
      <c r="AE129" s="21">
        <v>0</v>
      </c>
    </row>
    <row r="130" spans="1:31" ht="12.75">
      <c r="A130" s="5" t="s">
        <v>89</v>
      </c>
      <c r="B130" s="5" t="s">
        <v>9</v>
      </c>
      <c r="C130" s="5" t="s">
        <v>181</v>
      </c>
      <c r="D130" s="122" t="s">
        <v>250</v>
      </c>
      <c r="E130" s="123"/>
      <c r="F130" s="21">
        <f>'Stavební rozpočet'!J215</f>
        <v>0</v>
      </c>
      <c r="G130" s="21">
        <v>0</v>
      </c>
      <c r="H130" s="21">
        <f t="shared" si="5"/>
        <v>0</v>
      </c>
      <c r="I130" s="21">
        <f t="shared" si="6"/>
        <v>0</v>
      </c>
      <c r="J130" s="21">
        <f>'Stavební rozpočet'!F215</f>
        <v>4.4225</v>
      </c>
      <c r="K130" s="21">
        <v>0</v>
      </c>
      <c r="L130" s="59">
        <v>4.4225</v>
      </c>
      <c r="M130" s="67" t="str">
        <f t="shared" si="7"/>
        <v>Nefakturováno</v>
      </c>
      <c r="N130" s="21">
        <f t="shared" si="8"/>
        <v>0</v>
      </c>
      <c r="O130" s="21">
        <f t="shared" si="9"/>
        <v>-100</v>
      </c>
      <c r="AE130" s="21">
        <v>0</v>
      </c>
    </row>
    <row r="131" spans="1:31" ht="12.75">
      <c r="A131" s="5" t="s">
        <v>90</v>
      </c>
      <c r="B131" s="5" t="s">
        <v>9</v>
      </c>
      <c r="C131" s="5" t="s">
        <v>182</v>
      </c>
      <c r="D131" s="122" t="s">
        <v>252</v>
      </c>
      <c r="E131" s="123"/>
      <c r="F131" s="21">
        <f>'Stavební rozpočet'!J217</f>
        <v>0</v>
      </c>
      <c r="G131" s="21">
        <v>0</v>
      </c>
      <c r="H131" s="21">
        <f t="shared" si="5"/>
        <v>0</v>
      </c>
      <c r="I131" s="21">
        <f t="shared" si="6"/>
        <v>0</v>
      </c>
      <c r="J131" s="21">
        <f>'Stavební rozpočet'!F217</f>
        <v>2</v>
      </c>
      <c r="K131" s="21">
        <v>0</v>
      </c>
      <c r="L131" s="59">
        <v>2</v>
      </c>
      <c r="M131" s="67" t="str">
        <f t="shared" si="7"/>
        <v>Nefakturováno</v>
      </c>
      <c r="N131" s="21">
        <f t="shared" si="8"/>
        <v>0</v>
      </c>
      <c r="O131" s="21">
        <f t="shared" si="9"/>
        <v>-100</v>
      </c>
      <c r="AE131" s="21">
        <v>0</v>
      </c>
    </row>
    <row r="132" spans="1:31" ht="12.75">
      <c r="A132" s="5" t="s">
        <v>91</v>
      </c>
      <c r="B132" s="5" t="s">
        <v>9</v>
      </c>
      <c r="C132" s="5" t="s">
        <v>183</v>
      </c>
      <c r="D132" s="122" t="s">
        <v>254</v>
      </c>
      <c r="E132" s="123"/>
      <c r="F132" s="21">
        <f>'Stavební rozpočet'!J219</f>
        <v>0</v>
      </c>
      <c r="G132" s="21">
        <v>0</v>
      </c>
      <c r="H132" s="21">
        <f t="shared" si="5"/>
        <v>0</v>
      </c>
      <c r="I132" s="21">
        <f t="shared" si="6"/>
        <v>0</v>
      </c>
      <c r="J132" s="21">
        <f>'Stavební rozpočet'!F219</f>
        <v>5.92</v>
      </c>
      <c r="K132" s="21">
        <v>0</v>
      </c>
      <c r="L132" s="59">
        <v>5.92</v>
      </c>
      <c r="M132" s="67" t="str">
        <f t="shared" si="7"/>
        <v>Nefakturováno</v>
      </c>
      <c r="N132" s="21">
        <f t="shared" si="8"/>
        <v>0</v>
      </c>
      <c r="O132" s="21">
        <f t="shared" si="9"/>
        <v>-100</v>
      </c>
      <c r="AE132" s="21">
        <v>0</v>
      </c>
    </row>
    <row r="133" spans="1:31" ht="12.75">
      <c r="A133" s="5" t="s">
        <v>92</v>
      </c>
      <c r="B133" s="5" t="s">
        <v>9</v>
      </c>
      <c r="C133" s="5" t="s">
        <v>184</v>
      </c>
      <c r="D133" s="122" t="s">
        <v>256</v>
      </c>
      <c r="E133" s="123"/>
      <c r="F133" s="21">
        <f>'Stavební rozpočet'!J221</f>
        <v>0</v>
      </c>
      <c r="G133" s="21">
        <v>0</v>
      </c>
      <c r="H133" s="21">
        <f t="shared" si="5"/>
        <v>0</v>
      </c>
      <c r="I133" s="21">
        <f t="shared" si="6"/>
        <v>0</v>
      </c>
      <c r="J133" s="21">
        <f>'Stavební rozpočet'!F221</f>
        <v>22.835</v>
      </c>
      <c r="K133" s="21">
        <v>0</v>
      </c>
      <c r="L133" s="59">
        <v>22.835</v>
      </c>
      <c r="M133" s="67" t="str">
        <f t="shared" si="7"/>
        <v>Nefakturováno</v>
      </c>
      <c r="N133" s="21">
        <f t="shared" si="8"/>
        <v>0</v>
      </c>
      <c r="O133" s="21">
        <f t="shared" si="9"/>
        <v>-100</v>
      </c>
      <c r="AE133" s="21">
        <v>0</v>
      </c>
    </row>
    <row r="134" spans="1:31" ht="12.75">
      <c r="A134" s="14"/>
      <c r="B134" s="14" t="s">
        <v>9</v>
      </c>
      <c r="C134" s="14" t="s">
        <v>185</v>
      </c>
      <c r="D134" s="120" t="s">
        <v>258</v>
      </c>
      <c r="E134" s="121"/>
      <c r="F134" s="40">
        <f>SUM(F135:F136)</f>
        <v>0</v>
      </c>
      <c r="G134" s="40">
        <f>SUM(G135:G136)</f>
        <v>0</v>
      </c>
      <c r="H134" s="40">
        <f t="shared" si="5"/>
        <v>0</v>
      </c>
      <c r="I134" s="40">
        <f t="shared" si="6"/>
        <v>0</v>
      </c>
      <c r="J134" s="40">
        <f>SUM(J135:J136)</f>
        <v>172.2</v>
      </c>
      <c r="K134" s="40">
        <f>SUM(K135:K136)</f>
        <v>0</v>
      </c>
      <c r="L134" s="63">
        <f>J134-K134</f>
        <v>172.2</v>
      </c>
      <c r="M134" s="66" t="str">
        <f t="shared" si="7"/>
        <v>Nefakturováno</v>
      </c>
      <c r="N134" s="40">
        <f t="shared" si="8"/>
        <v>0</v>
      </c>
      <c r="O134" s="40">
        <f t="shared" si="9"/>
        <v>-100</v>
      </c>
      <c r="AE134" s="21">
        <v>0</v>
      </c>
    </row>
    <row r="135" spans="1:31" ht="12.75">
      <c r="A135" s="5" t="s">
        <v>93</v>
      </c>
      <c r="B135" s="5" t="s">
        <v>9</v>
      </c>
      <c r="C135" s="5" t="s">
        <v>186</v>
      </c>
      <c r="D135" s="122" t="s">
        <v>259</v>
      </c>
      <c r="E135" s="123"/>
      <c r="F135" s="21">
        <f>'Stavební rozpočet'!J224</f>
        <v>0</v>
      </c>
      <c r="G135" s="21">
        <v>0</v>
      </c>
      <c r="H135" s="21">
        <f t="shared" si="5"/>
        <v>0</v>
      </c>
      <c r="I135" s="21">
        <f t="shared" si="6"/>
        <v>0</v>
      </c>
      <c r="J135" s="21">
        <f>'Stavební rozpočet'!F224</f>
        <v>8.2</v>
      </c>
      <c r="K135" s="21">
        <v>0</v>
      </c>
      <c r="L135" s="59">
        <v>8.2</v>
      </c>
      <c r="M135" s="67" t="str">
        <f t="shared" si="7"/>
        <v>Nefakturováno</v>
      </c>
      <c r="N135" s="21">
        <f t="shared" si="8"/>
        <v>0</v>
      </c>
      <c r="O135" s="21">
        <f t="shared" si="9"/>
        <v>-100</v>
      </c>
      <c r="AE135" s="21">
        <v>0</v>
      </c>
    </row>
    <row r="136" spans="1:31" ht="12.75">
      <c r="A136" s="5" t="s">
        <v>94</v>
      </c>
      <c r="B136" s="5" t="s">
        <v>9</v>
      </c>
      <c r="C136" s="5" t="s">
        <v>187</v>
      </c>
      <c r="D136" s="122" t="s">
        <v>261</v>
      </c>
      <c r="E136" s="123"/>
      <c r="F136" s="21">
        <f>'Stavební rozpočet'!J226</f>
        <v>0</v>
      </c>
      <c r="G136" s="21">
        <v>0</v>
      </c>
      <c r="H136" s="21">
        <f t="shared" si="5"/>
        <v>0</v>
      </c>
      <c r="I136" s="21">
        <f t="shared" si="6"/>
        <v>0</v>
      </c>
      <c r="J136" s="21">
        <f>'Stavební rozpočet'!F226</f>
        <v>164</v>
      </c>
      <c r="K136" s="21">
        <v>0</v>
      </c>
      <c r="L136" s="59">
        <v>164</v>
      </c>
      <c r="M136" s="67" t="str">
        <f t="shared" si="7"/>
        <v>Nefakturováno</v>
      </c>
      <c r="N136" s="21">
        <f t="shared" si="8"/>
        <v>0</v>
      </c>
      <c r="O136" s="21">
        <f t="shared" si="9"/>
        <v>-100</v>
      </c>
      <c r="AE136" s="21">
        <v>0</v>
      </c>
    </row>
    <row r="137" spans="1:31" ht="12.75">
      <c r="A137" s="14"/>
      <c r="B137" s="14" t="s">
        <v>9</v>
      </c>
      <c r="C137" s="14" t="s">
        <v>188</v>
      </c>
      <c r="D137" s="120" t="s">
        <v>227</v>
      </c>
      <c r="E137" s="121"/>
      <c r="F137" s="40">
        <f>SUM(F138:F138)</f>
        <v>0</v>
      </c>
      <c r="G137" s="40">
        <f>SUM(G138:G138)</f>
        <v>0</v>
      </c>
      <c r="H137" s="40">
        <f t="shared" si="5"/>
        <v>0</v>
      </c>
      <c r="I137" s="40">
        <f t="shared" si="6"/>
        <v>0</v>
      </c>
      <c r="J137" s="40">
        <f>SUM(J138:J138)</f>
        <v>8.2</v>
      </c>
      <c r="K137" s="40">
        <f>SUM(K138:K138)</f>
        <v>0</v>
      </c>
      <c r="L137" s="63">
        <f>J137-K137</f>
        <v>8.2</v>
      </c>
      <c r="M137" s="66" t="str">
        <f t="shared" si="7"/>
        <v>Nefakturováno</v>
      </c>
      <c r="N137" s="40">
        <f t="shared" si="8"/>
        <v>0</v>
      </c>
      <c r="O137" s="40">
        <f t="shared" si="9"/>
        <v>-100</v>
      </c>
      <c r="AE137" s="21">
        <v>0</v>
      </c>
    </row>
    <row r="138" spans="1:31" ht="12.75">
      <c r="A138" s="5" t="s">
        <v>95</v>
      </c>
      <c r="B138" s="5" t="s">
        <v>9</v>
      </c>
      <c r="C138" s="5" t="s">
        <v>189</v>
      </c>
      <c r="D138" s="122" t="s">
        <v>263</v>
      </c>
      <c r="E138" s="123"/>
      <c r="F138" s="21">
        <f>'Stavební rozpočet'!J229</f>
        <v>0</v>
      </c>
      <c r="G138" s="21">
        <v>0</v>
      </c>
      <c r="H138" s="21">
        <f t="shared" si="5"/>
        <v>0</v>
      </c>
      <c r="I138" s="21">
        <f t="shared" si="6"/>
        <v>0</v>
      </c>
      <c r="J138" s="21">
        <f>'Stavební rozpočet'!F229</f>
        <v>8.2</v>
      </c>
      <c r="K138" s="21">
        <v>0</v>
      </c>
      <c r="L138" s="59">
        <v>8.2</v>
      </c>
      <c r="M138" s="67" t="str">
        <f t="shared" si="7"/>
        <v>Nefakturováno</v>
      </c>
      <c r="N138" s="21">
        <f t="shared" si="8"/>
        <v>0</v>
      </c>
      <c r="O138" s="21">
        <f t="shared" si="9"/>
        <v>-100</v>
      </c>
      <c r="AE138" s="21">
        <v>0</v>
      </c>
    </row>
    <row r="139" spans="1:31" ht="12.75">
      <c r="A139" s="14"/>
      <c r="B139" s="14" t="s">
        <v>9</v>
      </c>
      <c r="C139" s="14" t="s">
        <v>190</v>
      </c>
      <c r="D139" s="120" t="s">
        <v>265</v>
      </c>
      <c r="E139" s="121"/>
      <c r="F139" s="40">
        <f>SUM(F140:F143)</f>
        <v>0</v>
      </c>
      <c r="G139" s="40">
        <f>SUM(G140:G143)</f>
        <v>0</v>
      </c>
      <c r="H139" s="40">
        <f aca="true" t="shared" si="10" ref="H139:H202">G139-F139</f>
        <v>0</v>
      </c>
      <c r="I139" s="40">
        <f aca="true" t="shared" si="11" ref="I139:I202">IF(F139=0,0,H139/F139*100)</f>
        <v>0</v>
      </c>
      <c r="J139" s="40">
        <f>SUM(J140:J143)</f>
        <v>12.68</v>
      </c>
      <c r="K139" s="40">
        <f>SUM(K140:K143)</f>
        <v>0</v>
      </c>
      <c r="L139" s="63">
        <f>J139-K139</f>
        <v>12.68</v>
      </c>
      <c r="M139" s="66" t="str">
        <f aca="true" t="shared" si="12" ref="M139:M202">IF(G139=0,"Nefakturováno",AE139)</f>
        <v>Nefakturováno</v>
      </c>
      <c r="N139" s="40">
        <f aca="true" t="shared" si="13" ref="N139:N202">AE139-G139</f>
        <v>0</v>
      </c>
      <c r="O139" s="40">
        <f aca="true" t="shared" si="14" ref="O139:O202">IF(G139&lt;&gt;0,N139/G139*100,-100)</f>
        <v>-100</v>
      </c>
      <c r="AE139" s="21">
        <v>0</v>
      </c>
    </row>
    <row r="140" spans="1:31" ht="12.75">
      <c r="A140" s="5" t="s">
        <v>96</v>
      </c>
      <c r="B140" s="5" t="s">
        <v>9</v>
      </c>
      <c r="C140" s="5" t="s">
        <v>191</v>
      </c>
      <c r="D140" s="122" t="s">
        <v>266</v>
      </c>
      <c r="E140" s="123"/>
      <c r="F140" s="21">
        <f>'Stavební rozpočet'!J232</f>
        <v>0</v>
      </c>
      <c r="G140" s="21">
        <v>0</v>
      </c>
      <c r="H140" s="21">
        <f t="shared" si="10"/>
        <v>0</v>
      </c>
      <c r="I140" s="21">
        <f t="shared" si="11"/>
        <v>0</v>
      </c>
      <c r="J140" s="21">
        <f>'Stavební rozpočet'!F232</f>
        <v>3.17</v>
      </c>
      <c r="K140" s="21">
        <v>0</v>
      </c>
      <c r="L140" s="59">
        <v>3.17</v>
      </c>
      <c r="M140" s="67" t="str">
        <f t="shared" si="12"/>
        <v>Nefakturováno</v>
      </c>
      <c r="N140" s="21">
        <f t="shared" si="13"/>
        <v>0</v>
      </c>
      <c r="O140" s="21">
        <f t="shared" si="14"/>
        <v>-100</v>
      </c>
      <c r="AE140" s="21">
        <v>0</v>
      </c>
    </row>
    <row r="141" spans="1:31" ht="12.75">
      <c r="A141" s="5" t="s">
        <v>97</v>
      </c>
      <c r="B141" s="5" t="s">
        <v>9</v>
      </c>
      <c r="C141" s="5" t="s">
        <v>192</v>
      </c>
      <c r="D141" s="122" t="s">
        <v>268</v>
      </c>
      <c r="E141" s="123"/>
      <c r="F141" s="21">
        <f>'Stavební rozpočet'!J234</f>
        <v>0</v>
      </c>
      <c r="G141" s="21">
        <v>0</v>
      </c>
      <c r="H141" s="21">
        <f t="shared" si="10"/>
        <v>0</v>
      </c>
      <c r="I141" s="21">
        <f t="shared" si="11"/>
        <v>0</v>
      </c>
      <c r="J141" s="21">
        <f>'Stavební rozpočet'!F234</f>
        <v>3.17</v>
      </c>
      <c r="K141" s="21">
        <v>0</v>
      </c>
      <c r="L141" s="59">
        <v>3.17</v>
      </c>
      <c r="M141" s="67" t="str">
        <f t="shared" si="12"/>
        <v>Nefakturováno</v>
      </c>
      <c r="N141" s="21">
        <f t="shared" si="13"/>
        <v>0</v>
      </c>
      <c r="O141" s="21">
        <f t="shared" si="14"/>
        <v>-100</v>
      </c>
      <c r="AE141" s="21">
        <v>0</v>
      </c>
    </row>
    <row r="142" spans="1:31" ht="12.75">
      <c r="A142" s="5" t="s">
        <v>98</v>
      </c>
      <c r="B142" s="5" t="s">
        <v>9</v>
      </c>
      <c r="C142" s="5" t="s">
        <v>193</v>
      </c>
      <c r="D142" s="122" t="s">
        <v>270</v>
      </c>
      <c r="E142" s="123"/>
      <c r="F142" s="21">
        <f>'Stavební rozpočet'!J236</f>
        <v>0</v>
      </c>
      <c r="G142" s="21">
        <v>0</v>
      </c>
      <c r="H142" s="21">
        <f t="shared" si="10"/>
        <v>0</v>
      </c>
      <c r="I142" s="21">
        <f t="shared" si="11"/>
        <v>0</v>
      </c>
      <c r="J142" s="21">
        <f>'Stavební rozpočet'!F236</f>
        <v>3.17</v>
      </c>
      <c r="K142" s="21">
        <v>0</v>
      </c>
      <c r="L142" s="59">
        <v>3.17</v>
      </c>
      <c r="M142" s="67" t="str">
        <f t="shared" si="12"/>
        <v>Nefakturováno</v>
      </c>
      <c r="N142" s="21">
        <f t="shared" si="13"/>
        <v>0</v>
      </c>
      <c r="O142" s="21">
        <f t="shared" si="14"/>
        <v>-100</v>
      </c>
      <c r="AE142" s="21">
        <v>0</v>
      </c>
    </row>
    <row r="143" spans="1:31" ht="12.75">
      <c r="A143" s="5" t="s">
        <v>99</v>
      </c>
      <c r="B143" s="5" t="s">
        <v>9</v>
      </c>
      <c r="C143" s="5" t="s">
        <v>194</v>
      </c>
      <c r="D143" s="122" t="s">
        <v>271</v>
      </c>
      <c r="E143" s="123"/>
      <c r="F143" s="21">
        <f>'Stavební rozpočet'!J238</f>
        <v>0</v>
      </c>
      <c r="G143" s="21">
        <v>0</v>
      </c>
      <c r="H143" s="21">
        <f t="shared" si="10"/>
        <v>0</v>
      </c>
      <c r="I143" s="21">
        <f t="shared" si="11"/>
        <v>0</v>
      </c>
      <c r="J143" s="21">
        <f>'Stavební rozpočet'!F238</f>
        <v>3.17</v>
      </c>
      <c r="K143" s="21">
        <v>0</v>
      </c>
      <c r="L143" s="59">
        <v>3.17</v>
      </c>
      <c r="M143" s="67" t="str">
        <f t="shared" si="12"/>
        <v>Nefakturováno</v>
      </c>
      <c r="N143" s="21">
        <f t="shared" si="13"/>
        <v>0</v>
      </c>
      <c r="O143" s="21">
        <f t="shared" si="14"/>
        <v>-100</v>
      </c>
      <c r="AE143" s="21">
        <v>0</v>
      </c>
    </row>
    <row r="144" spans="1:31" ht="12.75">
      <c r="A144" s="15"/>
      <c r="B144" s="15" t="s">
        <v>10</v>
      </c>
      <c r="C144" s="15"/>
      <c r="D144" s="126" t="s">
        <v>311</v>
      </c>
      <c r="E144" s="127"/>
      <c r="F144" s="41">
        <f>F145+F147+F150+F152+F156+F159+F162+F165+F168+F175+F178+F180</f>
        <v>0</v>
      </c>
      <c r="G144" s="41">
        <f>G145+G147+G150+G152+G156+G159+G162+G165+G168+G175+G178+G180</f>
        <v>0</v>
      </c>
      <c r="H144" s="41">
        <f t="shared" si="10"/>
        <v>0</v>
      </c>
      <c r="I144" s="41">
        <f t="shared" si="11"/>
        <v>0</v>
      </c>
      <c r="J144" s="41">
        <f>J145+J147+J150+J152+J156+J159+J162+J165+J168+J175+J178+J180</f>
        <v>724.7605</v>
      </c>
      <c r="K144" s="41">
        <f>K145+K147+K150+K152+K156+K159+K162+K165+K168+K175+K178+K180</f>
        <v>0</v>
      </c>
      <c r="L144" s="64">
        <f>J144-K144</f>
        <v>724.7605</v>
      </c>
      <c r="M144" s="69" t="str">
        <f t="shared" si="12"/>
        <v>Nefakturováno</v>
      </c>
      <c r="N144" s="41">
        <f t="shared" si="13"/>
        <v>0</v>
      </c>
      <c r="O144" s="41">
        <f t="shared" si="14"/>
        <v>-100</v>
      </c>
      <c r="AE144" s="21">
        <v>0</v>
      </c>
    </row>
    <row r="145" spans="1:31" ht="12.75">
      <c r="A145" s="14"/>
      <c r="B145" s="14" t="s">
        <v>10</v>
      </c>
      <c r="C145" s="14" t="s">
        <v>40</v>
      </c>
      <c r="D145" s="120" t="s">
        <v>203</v>
      </c>
      <c r="E145" s="121"/>
      <c r="F145" s="40">
        <f>SUM(F146:F146)</f>
        <v>0</v>
      </c>
      <c r="G145" s="40">
        <f>SUM(G146:G146)</f>
        <v>0</v>
      </c>
      <c r="H145" s="40">
        <f t="shared" si="10"/>
        <v>0</v>
      </c>
      <c r="I145" s="40">
        <f t="shared" si="11"/>
        <v>0</v>
      </c>
      <c r="J145" s="40">
        <f>SUM(J146:J146)</f>
        <v>62.1</v>
      </c>
      <c r="K145" s="40">
        <f>SUM(K146:K146)</f>
        <v>0</v>
      </c>
      <c r="L145" s="63">
        <f>J145-K145</f>
        <v>62.1</v>
      </c>
      <c r="M145" s="66" t="str">
        <f t="shared" si="12"/>
        <v>Nefakturováno</v>
      </c>
      <c r="N145" s="40">
        <f t="shared" si="13"/>
        <v>0</v>
      </c>
      <c r="O145" s="40">
        <f t="shared" si="14"/>
        <v>-100</v>
      </c>
      <c r="AE145" s="21">
        <v>0</v>
      </c>
    </row>
    <row r="146" spans="1:31" ht="12.75">
      <c r="A146" s="5" t="s">
        <v>100</v>
      </c>
      <c r="B146" s="5" t="s">
        <v>10</v>
      </c>
      <c r="C146" s="5" t="s">
        <v>153</v>
      </c>
      <c r="D146" s="122" t="s">
        <v>204</v>
      </c>
      <c r="E146" s="123"/>
      <c r="F146" s="21">
        <f>'Stavební rozpočet'!J242</f>
        <v>0</v>
      </c>
      <c r="G146" s="21">
        <v>0</v>
      </c>
      <c r="H146" s="21">
        <f t="shared" si="10"/>
        <v>0</v>
      </c>
      <c r="I146" s="21">
        <f t="shared" si="11"/>
        <v>0</v>
      </c>
      <c r="J146" s="21">
        <f>'Stavební rozpočet'!F242</f>
        <v>62.1</v>
      </c>
      <c r="K146" s="21">
        <v>0</v>
      </c>
      <c r="L146" s="59">
        <v>62.1</v>
      </c>
      <c r="M146" s="67" t="str">
        <f t="shared" si="12"/>
        <v>Nefakturováno</v>
      </c>
      <c r="N146" s="21">
        <f t="shared" si="13"/>
        <v>0</v>
      </c>
      <c r="O146" s="21">
        <f t="shared" si="14"/>
        <v>-100</v>
      </c>
      <c r="AE146" s="21">
        <v>0</v>
      </c>
    </row>
    <row r="147" spans="1:31" ht="12.75">
      <c r="A147" s="14"/>
      <c r="B147" s="14" t="s">
        <v>10</v>
      </c>
      <c r="C147" s="14" t="s">
        <v>67</v>
      </c>
      <c r="D147" s="120" t="s">
        <v>206</v>
      </c>
      <c r="E147" s="121"/>
      <c r="F147" s="40">
        <f>SUM(F148:F149)</f>
        <v>0</v>
      </c>
      <c r="G147" s="40">
        <f>SUM(G148:G149)</f>
        <v>0</v>
      </c>
      <c r="H147" s="40">
        <f t="shared" si="10"/>
        <v>0</v>
      </c>
      <c r="I147" s="40">
        <f t="shared" si="11"/>
        <v>0</v>
      </c>
      <c r="J147" s="40">
        <f>SUM(J148:J149)</f>
        <v>63.605</v>
      </c>
      <c r="K147" s="40">
        <f>SUM(K148:K149)</f>
        <v>0</v>
      </c>
      <c r="L147" s="63">
        <f>J147-K147</f>
        <v>63.605</v>
      </c>
      <c r="M147" s="66" t="str">
        <f t="shared" si="12"/>
        <v>Nefakturováno</v>
      </c>
      <c r="N147" s="40">
        <f t="shared" si="13"/>
        <v>0</v>
      </c>
      <c r="O147" s="40">
        <f t="shared" si="14"/>
        <v>-100</v>
      </c>
      <c r="AE147" s="21">
        <v>0</v>
      </c>
    </row>
    <row r="148" spans="1:31" ht="12.75">
      <c r="A148" s="5" t="s">
        <v>101</v>
      </c>
      <c r="B148" s="5" t="s">
        <v>10</v>
      </c>
      <c r="C148" s="5" t="s">
        <v>154</v>
      </c>
      <c r="D148" s="122" t="s">
        <v>207</v>
      </c>
      <c r="E148" s="123"/>
      <c r="F148" s="21">
        <f>'Stavební rozpočet'!J245</f>
        <v>0</v>
      </c>
      <c r="G148" s="21">
        <v>0</v>
      </c>
      <c r="H148" s="21">
        <f t="shared" si="10"/>
        <v>0</v>
      </c>
      <c r="I148" s="21">
        <f t="shared" si="11"/>
        <v>0</v>
      </c>
      <c r="J148" s="21">
        <f>'Stavební rozpočet'!F245</f>
        <v>27.72</v>
      </c>
      <c r="K148" s="21">
        <v>0</v>
      </c>
      <c r="L148" s="59">
        <v>27.72</v>
      </c>
      <c r="M148" s="67" t="str">
        <f t="shared" si="12"/>
        <v>Nefakturováno</v>
      </c>
      <c r="N148" s="21">
        <f t="shared" si="13"/>
        <v>0</v>
      </c>
      <c r="O148" s="21">
        <f t="shared" si="14"/>
        <v>-100</v>
      </c>
      <c r="AE148" s="21">
        <v>0</v>
      </c>
    </row>
    <row r="149" spans="1:31" ht="12.75">
      <c r="A149" s="5" t="s">
        <v>102</v>
      </c>
      <c r="B149" s="5" t="s">
        <v>10</v>
      </c>
      <c r="C149" s="5" t="s">
        <v>155</v>
      </c>
      <c r="D149" s="122" t="s">
        <v>209</v>
      </c>
      <c r="E149" s="123"/>
      <c r="F149" s="21">
        <f>'Stavební rozpočet'!J247</f>
        <v>0</v>
      </c>
      <c r="G149" s="21">
        <v>0</v>
      </c>
      <c r="H149" s="21">
        <f t="shared" si="10"/>
        <v>0</v>
      </c>
      <c r="I149" s="21">
        <f t="shared" si="11"/>
        <v>0</v>
      </c>
      <c r="J149" s="21">
        <f>'Stavební rozpočet'!F247</f>
        <v>35.885</v>
      </c>
      <c r="K149" s="21">
        <v>0</v>
      </c>
      <c r="L149" s="59">
        <v>35.885</v>
      </c>
      <c r="M149" s="67" t="str">
        <f t="shared" si="12"/>
        <v>Nefakturováno</v>
      </c>
      <c r="N149" s="21">
        <f t="shared" si="13"/>
        <v>0</v>
      </c>
      <c r="O149" s="21">
        <f t="shared" si="14"/>
        <v>-100</v>
      </c>
      <c r="AE149" s="21">
        <v>0</v>
      </c>
    </row>
    <row r="150" spans="1:31" ht="12.75">
      <c r="A150" s="14"/>
      <c r="B150" s="14" t="s">
        <v>10</v>
      </c>
      <c r="C150" s="14" t="s">
        <v>156</v>
      </c>
      <c r="D150" s="120" t="s">
        <v>211</v>
      </c>
      <c r="E150" s="121"/>
      <c r="F150" s="40">
        <f>SUM(F151:F151)</f>
        <v>0</v>
      </c>
      <c r="G150" s="40">
        <f>SUM(G151:G151)</f>
        <v>0</v>
      </c>
      <c r="H150" s="40">
        <f t="shared" si="10"/>
        <v>0</v>
      </c>
      <c r="I150" s="40">
        <f t="shared" si="11"/>
        <v>0</v>
      </c>
      <c r="J150" s="40">
        <f>SUM(J151:J151)</f>
        <v>22</v>
      </c>
      <c r="K150" s="40">
        <f>SUM(K151:K151)</f>
        <v>0</v>
      </c>
      <c r="L150" s="63">
        <f>J150-K150</f>
        <v>22</v>
      </c>
      <c r="M150" s="66" t="str">
        <f t="shared" si="12"/>
        <v>Nefakturováno</v>
      </c>
      <c r="N150" s="40">
        <f t="shared" si="13"/>
        <v>0</v>
      </c>
      <c r="O150" s="40">
        <f t="shared" si="14"/>
        <v>-100</v>
      </c>
      <c r="AE150" s="21">
        <v>0</v>
      </c>
    </row>
    <row r="151" spans="1:31" ht="12.75">
      <c r="A151" s="5" t="s">
        <v>103</v>
      </c>
      <c r="B151" s="5" t="s">
        <v>10</v>
      </c>
      <c r="C151" s="5" t="s">
        <v>157</v>
      </c>
      <c r="D151" s="122" t="s">
        <v>212</v>
      </c>
      <c r="E151" s="123"/>
      <c r="F151" s="21">
        <f>'Stavební rozpočet'!J250</f>
        <v>0</v>
      </c>
      <c r="G151" s="21">
        <v>0</v>
      </c>
      <c r="H151" s="21">
        <f t="shared" si="10"/>
        <v>0</v>
      </c>
      <c r="I151" s="21">
        <f t="shared" si="11"/>
        <v>0</v>
      </c>
      <c r="J151" s="21">
        <f>'Stavební rozpočet'!F250</f>
        <v>22</v>
      </c>
      <c r="K151" s="21">
        <v>0</v>
      </c>
      <c r="L151" s="59">
        <v>22</v>
      </c>
      <c r="M151" s="67" t="str">
        <f t="shared" si="12"/>
        <v>Nefakturováno</v>
      </c>
      <c r="N151" s="21">
        <f t="shared" si="13"/>
        <v>0</v>
      </c>
      <c r="O151" s="21">
        <f t="shared" si="14"/>
        <v>-100</v>
      </c>
      <c r="AE151" s="21">
        <v>0</v>
      </c>
    </row>
    <row r="152" spans="1:31" ht="12.75">
      <c r="A152" s="14"/>
      <c r="B152" s="14" t="s">
        <v>10</v>
      </c>
      <c r="C152" s="14" t="s">
        <v>70</v>
      </c>
      <c r="D152" s="120" t="s">
        <v>214</v>
      </c>
      <c r="E152" s="121"/>
      <c r="F152" s="40">
        <f>SUM(F153:F155)</f>
        <v>0</v>
      </c>
      <c r="G152" s="40">
        <f>SUM(G153:G155)</f>
        <v>0</v>
      </c>
      <c r="H152" s="40">
        <f t="shared" si="10"/>
        <v>0</v>
      </c>
      <c r="I152" s="40">
        <f t="shared" si="11"/>
        <v>0</v>
      </c>
      <c r="J152" s="40">
        <f>SUM(J153:J155)</f>
        <v>103.60000000000001</v>
      </c>
      <c r="K152" s="40">
        <f>SUM(K153:K155)</f>
        <v>0</v>
      </c>
      <c r="L152" s="63">
        <f>J152-K152</f>
        <v>103.60000000000001</v>
      </c>
      <c r="M152" s="66" t="str">
        <f t="shared" si="12"/>
        <v>Nefakturováno</v>
      </c>
      <c r="N152" s="40">
        <f t="shared" si="13"/>
        <v>0</v>
      </c>
      <c r="O152" s="40">
        <f t="shared" si="14"/>
        <v>-100</v>
      </c>
      <c r="AE152" s="21">
        <v>0</v>
      </c>
    </row>
    <row r="153" spans="1:31" ht="12.75">
      <c r="A153" s="5" t="s">
        <v>104</v>
      </c>
      <c r="B153" s="5" t="s">
        <v>10</v>
      </c>
      <c r="C153" s="5" t="s">
        <v>158</v>
      </c>
      <c r="D153" s="122" t="s">
        <v>215</v>
      </c>
      <c r="E153" s="123"/>
      <c r="F153" s="21">
        <f>'Stavební rozpočet'!J253</f>
        <v>0</v>
      </c>
      <c r="G153" s="21">
        <v>0</v>
      </c>
      <c r="H153" s="21">
        <f t="shared" si="10"/>
        <v>0</v>
      </c>
      <c r="I153" s="21">
        <f t="shared" si="11"/>
        <v>0</v>
      </c>
      <c r="J153" s="21">
        <f>'Stavební rozpočet'!F253</f>
        <v>11</v>
      </c>
      <c r="K153" s="21">
        <v>0</v>
      </c>
      <c r="L153" s="59">
        <v>11</v>
      </c>
      <c r="M153" s="67" t="str">
        <f t="shared" si="12"/>
        <v>Nefakturováno</v>
      </c>
      <c r="N153" s="21">
        <f t="shared" si="13"/>
        <v>0</v>
      </c>
      <c r="O153" s="21">
        <f t="shared" si="14"/>
        <v>-100</v>
      </c>
      <c r="AE153" s="21">
        <v>0</v>
      </c>
    </row>
    <row r="154" spans="1:31" ht="12.75">
      <c r="A154" s="5" t="s">
        <v>105</v>
      </c>
      <c r="B154" s="5" t="s">
        <v>10</v>
      </c>
      <c r="C154" s="5" t="s">
        <v>159</v>
      </c>
      <c r="D154" s="122" t="s">
        <v>217</v>
      </c>
      <c r="E154" s="123"/>
      <c r="F154" s="21">
        <f>'Stavební rozpočet'!J255</f>
        <v>0</v>
      </c>
      <c r="G154" s="21">
        <v>0</v>
      </c>
      <c r="H154" s="21">
        <f t="shared" si="10"/>
        <v>0</v>
      </c>
      <c r="I154" s="21">
        <f t="shared" si="11"/>
        <v>0</v>
      </c>
      <c r="J154" s="21">
        <f>'Stavební rozpočet'!F255</f>
        <v>80.9</v>
      </c>
      <c r="K154" s="21">
        <v>0</v>
      </c>
      <c r="L154" s="59">
        <v>80.9</v>
      </c>
      <c r="M154" s="67" t="str">
        <f t="shared" si="12"/>
        <v>Nefakturováno</v>
      </c>
      <c r="N154" s="21">
        <f t="shared" si="13"/>
        <v>0</v>
      </c>
      <c r="O154" s="21">
        <f t="shared" si="14"/>
        <v>-100</v>
      </c>
      <c r="AE154" s="21">
        <v>0</v>
      </c>
    </row>
    <row r="155" spans="1:31" ht="12.75">
      <c r="A155" s="5" t="s">
        <v>106</v>
      </c>
      <c r="B155" s="5" t="s">
        <v>10</v>
      </c>
      <c r="C155" s="5" t="s">
        <v>161</v>
      </c>
      <c r="D155" s="122" t="s">
        <v>221</v>
      </c>
      <c r="E155" s="123"/>
      <c r="F155" s="21">
        <f>'Stavební rozpočet'!J257</f>
        <v>0</v>
      </c>
      <c r="G155" s="21">
        <v>0</v>
      </c>
      <c r="H155" s="21">
        <f t="shared" si="10"/>
        <v>0</v>
      </c>
      <c r="I155" s="21">
        <f t="shared" si="11"/>
        <v>0</v>
      </c>
      <c r="J155" s="21">
        <f>'Stavební rozpočet'!F257</f>
        <v>11.7</v>
      </c>
      <c r="K155" s="21">
        <v>0</v>
      </c>
      <c r="L155" s="59">
        <v>11.7</v>
      </c>
      <c r="M155" s="67" t="str">
        <f t="shared" si="12"/>
        <v>Nefakturováno</v>
      </c>
      <c r="N155" s="21">
        <f t="shared" si="13"/>
        <v>0</v>
      </c>
      <c r="O155" s="21">
        <f t="shared" si="14"/>
        <v>-100</v>
      </c>
      <c r="AE155" s="21">
        <v>0</v>
      </c>
    </row>
    <row r="156" spans="1:31" ht="12.75">
      <c r="A156" s="14"/>
      <c r="B156" s="14" t="s">
        <v>10</v>
      </c>
      <c r="C156" s="14" t="s">
        <v>162</v>
      </c>
      <c r="D156" s="120" t="s">
        <v>223</v>
      </c>
      <c r="E156" s="121"/>
      <c r="F156" s="40">
        <f>SUM(F157:F158)</f>
        <v>0</v>
      </c>
      <c r="G156" s="40">
        <f>SUM(G157:G158)</f>
        <v>0</v>
      </c>
      <c r="H156" s="40">
        <f t="shared" si="10"/>
        <v>0</v>
      </c>
      <c r="I156" s="40">
        <f t="shared" si="11"/>
        <v>0</v>
      </c>
      <c r="J156" s="40">
        <f>SUM(J157:J158)</f>
        <v>41.8</v>
      </c>
      <c r="K156" s="40">
        <f>SUM(K157:K158)</f>
        <v>0</v>
      </c>
      <c r="L156" s="63">
        <f>J156-K156</f>
        <v>41.8</v>
      </c>
      <c r="M156" s="66" t="str">
        <f t="shared" si="12"/>
        <v>Nefakturováno</v>
      </c>
      <c r="N156" s="40">
        <f t="shared" si="13"/>
        <v>0</v>
      </c>
      <c r="O156" s="40">
        <f t="shared" si="14"/>
        <v>-100</v>
      </c>
      <c r="AE156" s="21">
        <v>0</v>
      </c>
    </row>
    <row r="157" spans="1:31" ht="12.75">
      <c r="A157" s="5" t="s">
        <v>107</v>
      </c>
      <c r="B157" s="5" t="s">
        <v>10</v>
      </c>
      <c r="C157" s="5" t="s">
        <v>163</v>
      </c>
      <c r="D157" s="122" t="s">
        <v>224</v>
      </c>
      <c r="E157" s="123"/>
      <c r="F157" s="21">
        <f>'Stavební rozpočet'!J260</f>
        <v>0</v>
      </c>
      <c r="G157" s="21">
        <v>0</v>
      </c>
      <c r="H157" s="21">
        <f t="shared" si="10"/>
        <v>0</v>
      </c>
      <c r="I157" s="21">
        <f t="shared" si="11"/>
        <v>0</v>
      </c>
      <c r="J157" s="21">
        <f>'Stavební rozpočet'!F260</f>
        <v>20.9</v>
      </c>
      <c r="K157" s="21">
        <v>0</v>
      </c>
      <c r="L157" s="59">
        <v>20.9</v>
      </c>
      <c r="M157" s="67" t="str">
        <f t="shared" si="12"/>
        <v>Nefakturováno</v>
      </c>
      <c r="N157" s="21">
        <f t="shared" si="13"/>
        <v>0</v>
      </c>
      <c r="O157" s="21">
        <f t="shared" si="14"/>
        <v>-100</v>
      </c>
      <c r="AE157" s="21">
        <v>0</v>
      </c>
    </row>
    <row r="158" spans="1:31" ht="12.75">
      <c r="A158" s="5" t="s">
        <v>108</v>
      </c>
      <c r="B158" s="5" t="s">
        <v>10</v>
      </c>
      <c r="C158" s="5" t="s">
        <v>164</v>
      </c>
      <c r="D158" s="122" t="s">
        <v>226</v>
      </c>
      <c r="E158" s="123"/>
      <c r="F158" s="21">
        <f>'Stavební rozpočet'!J262</f>
        <v>0</v>
      </c>
      <c r="G158" s="21">
        <v>0</v>
      </c>
      <c r="H158" s="21">
        <f t="shared" si="10"/>
        <v>0</v>
      </c>
      <c r="I158" s="21">
        <f t="shared" si="11"/>
        <v>0</v>
      </c>
      <c r="J158" s="21">
        <f>'Stavební rozpočet'!F262</f>
        <v>20.9</v>
      </c>
      <c r="K158" s="21">
        <v>0</v>
      </c>
      <c r="L158" s="59">
        <v>20.9</v>
      </c>
      <c r="M158" s="67" t="str">
        <f t="shared" si="12"/>
        <v>Nefakturováno</v>
      </c>
      <c r="N158" s="21">
        <f t="shared" si="13"/>
        <v>0</v>
      </c>
      <c r="O158" s="21">
        <f t="shared" si="14"/>
        <v>-100</v>
      </c>
      <c r="AE158" s="21">
        <v>0</v>
      </c>
    </row>
    <row r="159" spans="1:31" ht="12.75">
      <c r="A159" s="14"/>
      <c r="B159" s="14" t="s">
        <v>10</v>
      </c>
      <c r="C159" s="14" t="s">
        <v>165</v>
      </c>
      <c r="D159" s="120" t="s">
        <v>227</v>
      </c>
      <c r="E159" s="121"/>
      <c r="F159" s="40">
        <f>SUM(F160:F161)</f>
        <v>0</v>
      </c>
      <c r="G159" s="40">
        <f>SUM(G160:G161)</f>
        <v>0</v>
      </c>
      <c r="H159" s="40">
        <f t="shared" si="10"/>
        <v>0</v>
      </c>
      <c r="I159" s="40">
        <f t="shared" si="11"/>
        <v>0</v>
      </c>
      <c r="J159" s="40">
        <f>SUM(J160:J161)</f>
        <v>11</v>
      </c>
      <c r="K159" s="40">
        <f>SUM(K160:K161)</f>
        <v>0</v>
      </c>
      <c r="L159" s="63">
        <f>J159-K159</f>
        <v>11</v>
      </c>
      <c r="M159" s="66" t="str">
        <f t="shared" si="12"/>
        <v>Nefakturováno</v>
      </c>
      <c r="N159" s="40">
        <f t="shared" si="13"/>
        <v>0</v>
      </c>
      <c r="O159" s="40">
        <f t="shared" si="14"/>
        <v>-100</v>
      </c>
      <c r="AE159" s="21">
        <v>0</v>
      </c>
    </row>
    <row r="160" spans="1:31" ht="12.75">
      <c r="A160" s="5" t="s">
        <v>109</v>
      </c>
      <c r="B160" s="5" t="s">
        <v>10</v>
      </c>
      <c r="C160" s="5" t="s">
        <v>167</v>
      </c>
      <c r="D160" s="122" t="s">
        <v>230</v>
      </c>
      <c r="E160" s="123"/>
      <c r="F160" s="21">
        <f>'Stavební rozpočet'!J265</f>
        <v>0</v>
      </c>
      <c r="G160" s="21">
        <v>0</v>
      </c>
      <c r="H160" s="21">
        <f t="shared" si="10"/>
        <v>0</v>
      </c>
      <c r="I160" s="21">
        <f t="shared" si="11"/>
        <v>0</v>
      </c>
      <c r="J160" s="21">
        <f>'Stavební rozpočet'!F265</f>
        <v>9</v>
      </c>
      <c r="K160" s="21">
        <v>0</v>
      </c>
      <c r="L160" s="59">
        <v>9</v>
      </c>
      <c r="M160" s="67" t="str">
        <f t="shared" si="12"/>
        <v>Nefakturováno</v>
      </c>
      <c r="N160" s="21">
        <f t="shared" si="13"/>
        <v>0</v>
      </c>
      <c r="O160" s="21">
        <f t="shared" si="14"/>
        <v>-100</v>
      </c>
      <c r="AE160" s="21">
        <v>0</v>
      </c>
    </row>
    <row r="161" spans="1:31" ht="12.75">
      <c r="A161" s="5" t="s">
        <v>110</v>
      </c>
      <c r="B161" s="5" t="s">
        <v>10</v>
      </c>
      <c r="C161" s="5" t="s">
        <v>167</v>
      </c>
      <c r="D161" s="122" t="s">
        <v>231</v>
      </c>
      <c r="E161" s="123"/>
      <c r="F161" s="21">
        <f>'Stavební rozpočet'!J267</f>
        <v>0</v>
      </c>
      <c r="G161" s="21">
        <v>0</v>
      </c>
      <c r="H161" s="21">
        <f t="shared" si="10"/>
        <v>0</v>
      </c>
      <c r="I161" s="21">
        <f t="shared" si="11"/>
        <v>0</v>
      </c>
      <c r="J161" s="21">
        <f>'Stavební rozpočet'!F267</f>
        <v>2</v>
      </c>
      <c r="K161" s="21">
        <v>0</v>
      </c>
      <c r="L161" s="59">
        <v>2</v>
      </c>
      <c r="M161" s="67" t="str">
        <f t="shared" si="12"/>
        <v>Nefakturováno</v>
      </c>
      <c r="N161" s="21">
        <f t="shared" si="13"/>
        <v>0</v>
      </c>
      <c r="O161" s="21">
        <f t="shared" si="14"/>
        <v>-100</v>
      </c>
      <c r="AE161" s="21">
        <v>0</v>
      </c>
    </row>
    <row r="162" spans="1:31" ht="12.75">
      <c r="A162" s="14"/>
      <c r="B162" s="14" t="s">
        <v>10</v>
      </c>
      <c r="C162" s="14" t="s">
        <v>173</v>
      </c>
      <c r="D162" s="120" t="s">
        <v>237</v>
      </c>
      <c r="E162" s="121"/>
      <c r="F162" s="40">
        <f>SUM(F163:F164)</f>
        <v>0</v>
      </c>
      <c r="G162" s="40">
        <f>SUM(G163:G164)</f>
        <v>0</v>
      </c>
      <c r="H162" s="40">
        <f t="shared" si="10"/>
        <v>0</v>
      </c>
      <c r="I162" s="40">
        <f t="shared" si="11"/>
        <v>0</v>
      </c>
      <c r="J162" s="40">
        <f>SUM(J163:J164)</f>
        <v>55.44</v>
      </c>
      <c r="K162" s="40">
        <f>SUM(K163:K164)</f>
        <v>0</v>
      </c>
      <c r="L162" s="63">
        <f>J162-K162</f>
        <v>55.44</v>
      </c>
      <c r="M162" s="66" t="str">
        <f t="shared" si="12"/>
        <v>Nefakturováno</v>
      </c>
      <c r="N162" s="40">
        <f t="shared" si="13"/>
        <v>0</v>
      </c>
      <c r="O162" s="40">
        <f t="shared" si="14"/>
        <v>-100</v>
      </c>
      <c r="AE162" s="21">
        <v>0</v>
      </c>
    </row>
    <row r="163" spans="1:31" ht="12.75">
      <c r="A163" s="5" t="s">
        <v>111</v>
      </c>
      <c r="B163" s="5" t="s">
        <v>10</v>
      </c>
      <c r="C163" s="5" t="s">
        <v>174</v>
      </c>
      <c r="D163" s="122" t="s">
        <v>238</v>
      </c>
      <c r="E163" s="123"/>
      <c r="F163" s="21">
        <f>'Stavební rozpočet'!J270</f>
        <v>0</v>
      </c>
      <c r="G163" s="21">
        <v>0</v>
      </c>
      <c r="H163" s="21">
        <f t="shared" si="10"/>
        <v>0</v>
      </c>
      <c r="I163" s="21">
        <f t="shared" si="11"/>
        <v>0</v>
      </c>
      <c r="J163" s="21">
        <f>'Stavební rozpočet'!F270</f>
        <v>27.72</v>
      </c>
      <c r="K163" s="21">
        <v>0</v>
      </c>
      <c r="L163" s="59">
        <v>27.72</v>
      </c>
      <c r="M163" s="67" t="str">
        <f t="shared" si="12"/>
        <v>Nefakturováno</v>
      </c>
      <c r="N163" s="21">
        <f t="shared" si="13"/>
        <v>0</v>
      </c>
      <c r="O163" s="21">
        <f t="shared" si="14"/>
        <v>-100</v>
      </c>
      <c r="AE163" s="21">
        <v>0</v>
      </c>
    </row>
    <row r="164" spans="1:31" ht="12.75">
      <c r="A164" s="5" t="s">
        <v>112</v>
      </c>
      <c r="B164" s="5" t="s">
        <v>10</v>
      </c>
      <c r="C164" s="5" t="s">
        <v>175</v>
      </c>
      <c r="D164" s="122" t="s">
        <v>240</v>
      </c>
      <c r="E164" s="123"/>
      <c r="F164" s="21">
        <f>'Stavební rozpočet'!J272</f>
        <v>0</v>
      </c>
      <c r="G164" s="21">
        <v>0</v>
      </c>
      <c r="H164" s="21">
        <f t="shared" si="10"/>
        <v>0</v>
      </c>
      <c r="I164" s="21">
        <f t="shared" si="11"/>
        <v>0</v>
      </c>
      <c r="J164" s="21">
        <f>'Stavební rozpočet'!F272</f>
        <v>27.72</v>
      </c>
      <c r="K164" s="21">
        <v>0</v>
      </c>
      <c r="L164" s="59">
        <v>27.72</v>
      </c>
      <c r="M164" s="67" t="str">
        <f t="shared" si="12"/>
        <v>Nefakturováno</v>
      </c>
      <c r="N164" s="21">
        <f t="shared" si="13"/>
        <v>0</v>
      </c>
      <c r="O164" s="21">
        <f t="shared" si="14"/>
        <v>-100</v>
      </c>
      <c r="AE164" s="21">
        <v>0</v>
      </c>
    </row>
    <row r="165" spans="1:31" ht="12.75">
      <c r="A165" s="14"/>
      <c r="B165" s="14" t="s">
        <v>10</v>
      </c>
      <c r="C165" s="14" t="s">
        <v>176</v>
      </c>
      <c r="D165" s="120" t="s">
        <v>241</v>
      </c>
      <c r="E165" s="121"/>
      <c r="F165" s="40">
        <f>SUM(F166:F167)</f>
        <v>0</v>
      </c>
      <c r="G165" s="40">
        <f>SUM(G166:G167)</f>
        <v>0</v>
      </c>
      <c r="H165" s="40">
        <f t="shared" si="10"/>
        <v>0</v>
      </c>
      <c r="I165" s="40">
        <f t="shared" si="11"/>
        <v>0</v>
      </c>
      <c r="J165" s="40">
        <f>SUM(J166:J167)</f>
        <v>35.91</v>
      </c>
      <c r="K165" s="40">
        <f>SUM(K166:K167)</f>
        <v>0</v>
      </c>
      <c r="L165" s="63">
        <f>J165-K165</f>
        <v>35.91</v>
      </c>
      <c r="M165" s="66" t="str">
        <f t="shared" si="12"/>
        <v>Nefakturováno</v>
      </c>
      <c r="N165" s="40">
        <f t="shared" si="13"/>
        <v>0</v>
      </c>
      <c r="O165" s="40">
        <f t="shared" si="14"/>
        <v>-100</v>
      </c>
      <c r="AE165" s="21">
        <v>0</v>
      </c>
    </row>
    <row r="166" spans="1:31" ht="12.75">
      <c r="A166" s="5" t="s">
        <v>113</v>
      </c>
      <c r="B166" s="5" t="s">
        <v>10</v>
      </c>
      <c r="C166" s="5" t="s">
        <v>177</v>
      </c>
      <c r="D166" s="122" t="s">
        <v>242</v>
      </c>
      <c r="E166" s="123"/>
      <c r="F166" s="21">
        <f>'Stavební rozpočet'!J275</f>
        <v>0</v>
      </c>
      <c r="G166" s="21">
        <v>0</v>
      </c>
      <c r="H166" s="21">
        <f t="shared" si="10"/>
        <v>0</v>
      </c>
      <c r="I166" s="21">
        <f t="shared" si="11"/>
        <v>0</v>
      </c>
      <c r="J166" s="21">
        <f>'Stavební rozpočet'!F275</f>
        <v>26.91</v>
      </c>
      <c r="K166" s="21">
        <v>0</v>
      </c>
      <c r="L166" s="59">
        <v>26.91</v>
      </c>
      <c r="M166" s="67" t="str">
        <f t="shared" si="12"/>
        <v>Nefakturováno</v>
      </c>
      <c r="N166" s="21">
        <f t="shared" si="13"/>
        <v>0</v>
      </c>
      <c r="O166" s="21">
        <f t="shared" si="14"/>
        <v>-100</v>
      </c>
      <c r="AE166" s="21">
        <v>0</v>
      </c>
    </row>
    <row r="167" spans="1:31" ht="12.75">
      <c r="A167" s="6" t="s">
        <v>114</v>
      </c>
      <c r="B167" s="6" t="s">
        <v>10</v>
      </c>
      <c r="C167" s="6" t="s">
        <v>178</v>
      </c>
      <c r="D167" s="124" t="s">
        <v>244</v>
      </c>
      <c r="E167" s="125"/>
      <c r="F167" s="22">
        <f>'Stavební rozpočet'!J277</f>
        <v>0</v>
      </c>
      <c r="G167" s="22">
        <v>0</v>
      </c>
      <c r="H167" s="22">
        <f t="shared" si="10"/>
        <v>0</v>
      </c>
      <c r="I167" s="22">
        <f t="shared" si="11"/>
        <v>0</v>
      </c>
      <c r="J167" s="22">
        <f>'Stavební rozpočet'!F277</f>
        <v>9</v>
      </c>
      <c r="K167" s="22">
        <v>0</v>
      </c>
      <c r="L167" s="60">
        <v>9</v>
      </c>
      <c r="M167" s="68" t="str">
        <f t="shared" si="12"/>
        <v>Nefakturováno</v>
      </c>
      <c r="N167" s="22">
        <f t="shared" si="13"/>
        <v>0</v>
      </c>
      <c r="O167" s="22">
        <f t="shared" si="14"/>
        <v>-100</v>
      </c>
      <c r="AE167" s="22">
        <v>0</v>
      </c>
    </row>
    <row r="168" spans="1:31" ht="12.75">
      <c r="A168" s="14"/>
      <c r="B168" s="14" t="s">
        <v>10</v>
      </c>
      <c r="C168" s="14" t="s">
        <v>102</v>
      </c>
      <c r="D168" s="120" t="s">
        <v>245</v>
      </c>
      <c r="E168" s="121"/>
      <c r="F168" s="40">
        <f>SUM(F169:F174)</f>
        <v>0</v>
      </c>
      <c r="G168" s="40">
        <f>SUM(G169:G174)</f>
        <v>0</v>
      </c>
      <c r="H168" s="40">
        <f t="shared" si="10"/>
        <v>0</v>
      </c>
      <c r="I168" s="40">
        <f t="shared" si="11"/>
        <v>0</v>
      </c>
      <c r="J168" s="40">
        <f>SUM(J169:J174)</f>
        <v>129.4855</v>
      </c>
      <c r="K168" s="40">
        <f>SUM(K169:K174)</f>
        <v>0</v>
      </c>
      <c r="L168" s="63">
        <f>J168-K168</f>
        <v>129.4855</v>
      </c>
      <c r="M168" s="66" t="str">
        <f t="shared" si="12"/>
        <v>Nefakturováno</v>
      </c>
      <c r="N168" s="40">
        <f t="shared" si="13"/>
        <v>0</v>
      </c>
      <c r="O168" s="40">
        <f t="shared" si="14"/>
        <v>-100</v>
      </c>
      <c r="AE168" s="22">
        <v>0</v>
      </c>
    </row>
    <row r="169" spans="1:31" ht="12.75">
      <c r="A169" s="5" t="s">
        <v>115</v>
      </c>
      <c r="B169" s="5" t="s">
        <v>10</v>
      </c>
      <c r="C169" s="5" t="s">
        <v>179</v>
      </c>
      <c r="D169" s="122" t="s">
        <v>246</v>
      </c>
      <c r="E169" s="123"/>
      <c r="F169" s="21">
        <f>'Stavební rozpočet'!J280</f>
        <v>0</v>
      </c>
      <c r="G169" s="21">
        <v>0</v>
      </c>
      <c r="H169" s="21">
        <f t="shared" si="10"/>
        <v>0</v>
      </c>
      <c r="I169" s="21">
        <f t="shared" si="11"/>
        <v>0</v>
      </c>
      <c r="J169" s="21">
        <f>'Stavební rozpočet'!F280</f>
        <v>66</v>
      </c>
      <c r="K169" s="21">
        <v>0</v>
      </c>
      <c r="L169" s="59">
        <v>66</v>
      </c>
      <c r="M169" s="67" t="str">
        <f t="shared" si="12"/>
        <v>Nefakturováno</v>
      </c>
      <c r="N169" s="21">
        <f t="shared" si="13"/>
        <v>0</v>
      </c>
      <c r="O169" s="21">
        <f t="shared" si="14"/>
        <v>-100</v>
      </c>
      <c r="AE169" s="21">
        <v>0</v>
      </c>
    </row>
    <row r="170" spans="1:31" ht="12.75">
      <c r="A170" s="5" t="s">
        <v>116</v>
      </c>
      <c r="B170" s="5" t="s">
        <v>10</v>
      </c>
      <c r="C170" s="5" t="s">
        <v>180</v>
      </c>
      <c r="D170" s="122" t="s">
        <v>248</v>
      </c>
      <c r="E170" s="123"/>
      <c r="F170" s="21">
        <f>'Stavební rozpočet'!J282</f>
        <v>0</v>
      </c>
      <c r="G170" s="21">
        <v>0</v>
      </c>
      <c r="H170" s="21">
        <f t="shared" si="10"/>
        <v>0</v>
      </c>
      <c r="I170" s="21">
        <f t="shared" si="11"/>
        <v>0</v>
      </c>
      <c r="J170" s="21">
        <f>'Stavební rozpočet'!F282</f>
        <v>34.643</v>
      </c>
      <c r="K170" s="21">
        <v>0</v>
      </c>
      <c r="L170" s="59">
        <v>34.643</v>
      </c>
      <c r="M170" s="67" t="str">
        <f t="shared" si="12"/>
        <v>Nefakturováno</v>
      </c>
      <c r="N170" s="21">
        <f t="shared" si="13"/>
        <v>0</v>
      </c>
      <c r="O170" s="21">
        <f t="shared" si="14"/>
        <v>-100</v>
      </c>
      <c r="AE170" s="21">
        <v>0</v>
      </c>
    </row>
    <row r="171" spans="1:31" ht="12.75">
      <c r="A171" s="5" t="s">
        <v>117</v>
      </c>
      <c r="B171" s="5" t="s">
        <v>10</v>
      </c>
      <c r="C171" s="5" t="s">
        <v>183</v>
      </c>
      <c r="D171" s="122" t="s">
        <v>254</v>
      </c>
      <c r="E171" s="123"/>
      <c r="F171" s="21">
        <f>'Stavební rozpočet'!J284</f>
        <v>0</v>
      </c>
      <c r="G171" s="21">
        <v>0</v>
      </c>
      <c r="H171" s="21">
        <f t="shared" si="10"/>
        <v>0</v>
      </c>
      <c r="I171" s="21">
        <f t="shared" si="11"/>
        <v>0</v>
      </c>
      <c r="J171" s="21">
        <f>'Stavební rozpočet'!F284</f>
        <v>4.5</v>
      </c>
      <c r="K171" s="21">
        <v>0</v>
      </c>
      <c r="L171" s="59">
        <v>4.5</v>
      </c>
      <c r="M171" s="67" t="str">
        <f t="shared" si="12"/>
        <v>Nefakturováno</v>
      </c>
      <c r="N171" s="21">
        <f t="shared" si="13"/>
        <v>0</v>
      </c>
      <c r="O171" s="21">
        <f t="shared" si="14"/>
        <v>-100</v>
      </c>
      <c r="AE171" s="21">
        <v>0</v>
      </c>
    </row>
    <row r="172" spans="1:31" ht="12.75">
      <c r="A172" s="5" t="s">
        <v>118</v>
      </c>
      <c r="B172" s="5" t="s">
        <v>10</v>
      </c>
      <c r="C172" s="5" t="s">
        <v>184</v>
      </c>
      <c r="D172" s="122" t="s">
        <v>256</v>
      </c>
      <c r="E172" s="123"/>
      <c r="F172" s="21">
        <f>'Stavební rozpočet'!J286</f>
        <v>0</v>
      </c>
      <c r="G172" s="21">
        <v>0</v>
      </c>
      <c r="H172" s="21">
        <f t="shared" si="10"/>
        <v>0</v>
      </c>
      <c r="I172" s="21">
        <f t="shared" si="11"/>
        <v>0</v>
      </c>
      <c r="J172" s="21">
        <f>'Stavební rozpočet'!F286</f>
        <v>22.3425</v>
      </c>
      <c r="K172" s="21">
        <v>0</v>
      </c>
      <c r="L172" s="59">
        <v>22.3425</v>
      </c>
      <c r="M172" s="67" t="str">
        <f t="shared" si="12"/>
        <v>Nefakturováno</v>
      </c>
      <c r="N172" s="21">
        <f t="shared" si="13"/>
        <v>0</v>
      </c>
      <c r="O172" s="21">
        <f t="shared" si="14"/>
        <v>-100</v>
      </c>
      <c r="AE172" s="21">
        <v>0</v>
      </c>
    </row>
    <row r="173" spans="1:31" ht="12.75">
      <c r="A173" s="5" t="s">
        <v>119</v>
      </c>
      <c r="B173" s="5" t="s">
        <v>10</v>
      </c>
      <c r="C173" s="5" t="s">
        <v>195</v>
      </c>
      <c r="D173" s="122" t="s">
        <v>326</v>
      </c>
      <c r="E173" s="123"/>
      <c r="F173" s="21">
        <f>'Stavební rozpočet'!J288</f>
        <v>0</v>
      </c>
      <c r="G173" s="21">
        <v>0</v>
      </c>
      <c r="H173" s="21">
        <f t="shared" si="10"/>
        <v>0</v>
      </c>
      <c r="I173" s="21">
        <f t="shared" si="11"/>
        <v>0</v>
      </c>
      <c r="J173" s="21">
        <f>'Stavební rozpočet'!F288</f>
        <v>1</v>
      </c>
      <c r="K173" s="21">
        <v>0</v>
      </c>
      <c r="L173" s="59">
        <v>1</v>
      </c>
      <c r="M173" s="67" t="str">
        <f t="shared" si="12"/>
        <v>Nefakturováno</v>
      </c>
      <c r="N173" s="21">
        <f t="shared" si="13"/>
        <v>0</v>
      </c>
      <c r="O173" s="21">
        <f t="shared" si="14"/>
        <v>-100</v>
      </c>
      <c r="AE173" s="21">
        <v>0</v>
      </c>
    </row>
    <row r="174" spans="1:31" ht="12.75">
      <c r="A174" s="5" t="s">
        <v>120</v>
      </c>
      <c r="B174" s="5" t="s">
        <v>10</v>
      </c>
      <c r="C174" s="5" t="s">
        <v>196</v>
      </c>
      <c r="D174" s="122" t="s">
        <v>327</v>
      </c>
      <c r="E174" s="123"/>
      <c r="F174" s="21">
        <f>'Stavební rozpočet'!J290</f>
        <v>0</v>
      </c>
      <c r="G174" s="21">
        <v>0</v>
      </c>
      <c r="H174" s="21">
        <f t="shared" si="10"/>
        <v>0</v>
      </c>
      <c r="I174" s="21">
        <f t="shared" si="11"/>
        <v>0</v>
      </c>
      <c r="J174" s="21">
        <f>'Stavební rozpočet'!F290</f>
        <v>1</v>
      </c>
      <c r="K174" s="21">
        <v>0</v>
      </c>
      <c r="L174" s="59">
        <v>1</v>
      </c>
      <c r="M174" s="67" t="str">
        <f t="shared" si="12"/>
        <v>Nefakturováno</v>
      </c>
      <c r="N174" s="21">
        <f t="shared" si="13"/>
        <v>0</v>
      </c>
      <c r="O174" s="21">
        <f t="shared" si="14"/>
        <v>-100</v>
      </c>
      <c r="AE174" s="21">
        <v>0</v>
      </c>
    </row>
    <row r="175" spans="1:31" ht="12.75">
      <c r="A175" s="14"/>
      <c r="B175" s="14" t="s">
        <v>10</v>
      </c>
      <c r="C175" s="14" t="s">
        <v>185</v>
      </c>
      <c r="D175" s="120" t="s">
        <v>258</v>
      </c>
      <c r="E175" s="121"/>
      <c r="F175" s="40">
        <f>SUM(F176:F177)</f>
        <v>0</v>
      </c>
      <c r="G175" s="40">
        <f>SUM(G176:G177)</f>
        <v>0</v>
      </c>
      <c r="H175" s="40">
        <f t="shared" si="10"/>
        <v>0</v>
      </c>
      <c r="I175" s="40">
        <f t="shared" si="11"/>
        <v>0</v>
      </c>
      <c r="J175" s="40">
        <f>SUM(J176:J177)</f>
        <v>178.70999999999998</v>
      </c>
      <c r="K175" s="40">
        <f>SUM(K176:K177)</f>
        <v>0</v>
      </c>
      <c r="L175" s="63">
        <f>J175-K175</f>
        <v>178.70999999999998</v>
      </c>
      <c r="M175" s="66" t="str">
        <f t="shared" si="12"/>
        <v>Nefakturováno</v>
      </c>
      <c r="N175" s="40">
        <f t="shared" si="13"/>
        <v>0</v>
      </c>
      <c r="O175" s="40">
        <f t="shared" si="14"/>
        <v>-100</v>
      </c>
      <c r="AE175" s="21">
        <v>0</v>
      </c>
    </row>
    <row r="176" spans="1:31" ht="12.75">
      <c r="A176" s="5" t="s">
        <v>121</v>
      </c>
      <c r="B176" s="5" t="s">
        <v>10</v>
      </c>
      <c r="C176" s="5" t="s">
        <v>186</v>
      </c>
      <c r="D176" s="122" t="s">
        <v>259</v>
      </c>
      <c r="E176" s="123"/>
      <c r="F176" s="21">
        <f>'Stavební rozpočet'!J293</f>
        <v>0</v>
      </c>
      <c r="G176" s="21">
        <v>0</v>
      </c>
      <c r="H176" s="21">
        <f t="shared" si="10"/>
        <v>0</v>
      </c>
      <c r="I176" s="21">
        <f t="shared" si="11"/>
        <v>0</v>
      </c>
      <c r="J176" s="21">
        <f>'Stavební rozpočet'!F293</f>
        <v>8.51</v>
      </c>
      <c r="K176" s="21">
        <v>0</v>
      </c>
      <c r="L176" s="59">
        <v>8.51</v>
      </c>
      <c r="M176" s="67" t="str">
        <f t="shared" si="12"/>
        <v>Nefakturováno</v>
      </c>
      <c r="N176" s="21">
        <f t="shared" si="13"/>
        <v>0</v>
      </c>
      <c r="O176" s="21">
        <f t="shared" si="14"/>
        <v>-100</v>
      </c>
      <c r="AE176" s="21">
        <v>0</v>
      </c>
    </row>
    <row r="177" spans="1:31" ht="12.75">
      <c r="A177" s="5" t="s">
        <v>122</v>
      </c>
      <c r="B177" s="5" t="s">
        <v>10</v>
      </c>
      <c r="C177" s="5" t="s">
        <v>187</v>
      </c>
      <c r="D177" s="122" t="s">
        <v>261</v>
      </c>
      <c r="E177" s="123"/>
      <c r="F177" s="21">
        <f>'Stavební rozpočet'!J295</f>
        <v>0</v>
      </c>
      <c r="G177" s="21">
        <v>0</v>
      </c>
      <c r="H177" s="21">
        <f t="shared" si="10"/>
        <v>0</v>
      </c>
      <c r="I177" s="21">
        <f t="shared" si="11"/>
        <v>0</v>
      </c>
      <c r="J177" s="21">
        <f>'Stavební rozpočet'!F295</f>
        <v>170.2</v>
      </c>
      <c r="K177" s="21">
        <v>0</v>
      </c>
      <c r="L177" s="59">
        <v>170.2</v>
      </c>
      <c r="M177" s="67" t="str">
        <f t="shared" si="12"/>
        <v>Nefakturováno</v>
      </c>
      <c r="N177" s="21">
        <f t="shared" si="13"/>
        <v>0</v>
      </c>
      <c r="O177" s="21">
        <f t="shared" si="14"/>
        <v>-100</v>
      </c>
      <c r="AE177" s="21">
        <v>0</v>
      </c>
    </row>
    <row r="178" spans="1:31" ht="12.75">
      <c r="A178" s="14"/>
      <c r="B178" s="14" t="s">
        <v>10</v>
      </c>
      <c r="C178" s="14" t="s">
        <v>188</v>
      </c>
      <c r="D178" s="120" t="s">
        <v>227</v>
      </c>
      <c r="E178" s="121"/>
      <c r="F178" s="40">
        <f>SUM(F179:F179)</f>
        <v>0</v>
      </c>
      <c r="G178" s="40">
        <f>SUM(G179:G179)</f>
        <v>0</v>
      </c>
      <c r="H178" s="40">
        <f t="shared" si="10"/>
        <v>0</v>
      </c>
      <c r="I178" s="40">
        <f t="shared" si="11"/>
        <v>0</v>
      </c>
      <c r="J178" s="40">
        <f>SUM(J179:J179)</f>
        <v>8.51</v>
      </c>
      <c r="K178" s="40">
        <f>SUM(K179:K179)</f>
        <v>0</v>
      </c>
      <c r="L178" s="63">
        <f>J178-K178</f>
        <v>8.51</v>
      </c>
      <c r="M178" s="66" t="str">
        <f t="shared" si="12"/>
        <v>Nefakturováno</v>
      </c>
      <c r="N178" s="40">
        <f t="shared" si="13"/>
        <v>0</v>
      </c>
      <c r="O178" s="40">
        <f t="shared" si="14"/>
        <v>-100</v>
      </c>
      <c r="AE178" s="21">
        <v>0</v>
      </c>
    </row>
    <row r="179" spans="1:31" ht="12.75">
      <c r="A179" s="5" t="s">
        <v>123</v>
      </c>
      <c r="B179" s="5" t="s">
        <v>10</v>
      </c>
      <c r="C179" s="5" t="s">
        <v>189</v>
      </c>
      <c r="D179" s="122" t="s">
        <v>263</v>
      </c>
      <c r="E179" s="123"/>
      <c r="F179" s="21">
        <f>'Stavební rozpočet'!J298</f>
        <v>0</v>
      </c>
      <c r="G179" s="21">
        <v>0</v>
      </c>
      <c r="H179" s="21">
        <f t="shared" si="10"/>
        <v>0</v>
      </c>
      <c r="I179" s="21">
        <f t="shared" si="11"/>
        <v>0</v>
      </c>
      <c r="J179" s="21">
        <f>'Stavební rozpočet'!F298</f>
        <v>8.51</v>
      </c>
      <c r="K179" s="21">
        <v>0</v>
      </c>
      <c r="L179" s="59">
        <v>8.51</v>
      </c>
      <c r="M179" s="67" t="str">
        <f t="shared" si="12"/>
        <v>Nefakturováno</v>
      </c>
      <c r="N179" s="21">
        <f t="shared" si="13"/>
        <v>0</v>
      </c>
      <c r="O179" s="21">
        <f t="shared" si="14"/>
        <v>-100</v>
      </c>
      <c r="AE179" s="21">
        <v>0</v>
      </c>
    </row>
    <row r="180" spans="1:31" ht="12.75">
      <c r="A180" s="14"/>
      <c r="B180" s="14" t="s">
        <v>10</v>
      </c>
      <c r="C180" s="14" t="s">
        <v>190</v>
      </c>
      <c r="D180" s="120" t="s">
        <v>265</v>
      </c>
      <c r="E180" s="121"/>
      <c r="F180" s="40">
        <f>SUM(F181:F184)</f>
        <v>0</v>
      </c>
      <c r="G180" s="40">
        <f>SUM(G181:G184)</f>
        <v>0</v>
      </c>
      <c r="H180" s="40">
        <f t="shared" si="10"/>
        <v>0</v>
      </c>
      <c r="I180" s="40">
        <f t="shared" si="11"/>
        <v>0</v>
      </c>
      <c r="J180" s="40">
        <f>SUM(J181:J184)</f>
        <v>12.6</v>
      </c>
      <c r="K180" s="40">
        <f>SUM(K181:K184)</f>
        <v>0</v>
      </c>
      <c r="L180" s="63">
        <f>J180-K180</f>
        <v>12.6</v>
      </c>
      <c r="M180" s="66" t="str">
        <f t="shared" si="12"/>
        <v>Nefakturováno</v>
      </c>
      <c r="N180" s="40">
        <f t="shared" si="13"/>
        <v>0</v>
      </c>
      <c r="O180" s="40">
        <f t="shared" si="14"/>
        <v>-100</v>
      </c>
      <c r="AE180" s="21">
        <v>0</v>
      </c>
    </row>
    <row r="181" spans="1:31" ht="12.75">
      <c r="A181" s="5" t="s">
        <v>124</v>
      </c>
      <c r="B181" s="5" t="s">
        <v>10</v>
      </c>
      <c r="C181" s="5" t="s">
        <v>191</v>
      </c>
      <c r="D181" s="122" t="s">
        <v>266</v>
      </c>
      <c r="E181" s="123"/>
      <c r="F181" s="21">
        <f>'Stavební rozpočet'!J301</f>
        <v>0</v>
      </c>
      <c r="G181" s="21">
        <v>0</v>
      </c>
      <c r="H181" s="21">
        <f t="shared" si="10"/>
        <v>0</v>
      </c>
      <c r="I181" s="21">
        <f t="shared" si="11"/>
        <v>0</v>
      </c>
      <c r="J181" s="21">
        <f>'Stavební rozpočet'!F301</f>
        <v>3.15</v>
      </c>
      <c r="K181" s="21">
        <v>0</v>
      </c>
      <c r="L181" s="59">
        <v>3.15</v>
      </c>
      <c r="M181" s="67" t="str">
        <f t="shared" si="12"/>
        <v>Nefakturováno</v>
      </c>
      <c r="N181" s="21">
        <f t="shared" si="13"/>
        <v>0</v>
      </c>
      <c r="O181" s="21">
        <f t="shared" si="14"/>
        <v>-100</v>
      </c>
      <c r="AE181" s="21">
        <v>0</v>
      </c>
    </row>
    <row r="182" spans="1:31" ht="12.75">
      <c r="A182" s="5" t="s">
        <v>125</v>
      </c>
      <c r="B182" s="5" t="s">
        <v>10</v>
      </c>
      <c r="C182" s="5" t="s">
        <v>192</v>
      </c>
      <c r="D182" s="122" t="s">
        <v>268</v>
      </c>
      <c r="E182" s="123"/>
      <c r="F182" s="21">
        <f>'Stavební rozpočet'!J303</f>
        <v>0</v>
      </c>
      <c r="G182" s="21">
        <v>0</v>
      </c>
      <c r="H182" s="21">
        <f t="shared" si="10"/>
        <v>0</v>
      </c>
      <c r="I182" s="21">
        <f t="shared" si="11"/>
        <v>0</v>
      </c>
      <c r="J182" s="21">
        <f>'Stavební rozpočet'!F303</f>
        <v>3.15</v>
      </c>
      <c r="K182" s="21">
        <v>0</v>
      </c>
      <c r="L182" s="59">
        <v>3.15</v>
      </c>
      <c r="M182" s="67" t="str">
        <f t="shared" si="12"/>
        <v>Nefakturováno</v>
      </c>
      <c r="N182" s="21">
        <f t="shared" si="13"/>
        <v>0</v>
      </c>
      <c r="O182" s="21">
        <f t="shared" si="14"/>
        <v>-100</v>
      </c>
      <c r="AE182" s="21">
        <v>0</v>
      </c>
    </row>
    <row r="183" spans="1:31" ht="12.75">
      <c r="A183" s="5" t="s">
        <v>126</v>
      </c>
      <c r="B183" s="5" t="s">
        <v>10</v>
      </c>
      <c r="C183" s="5" t="s">
        <v>193</v>
      </c>
      <c r="D183" s="122" t="s">
        <v>270</v>
      </c>
      <c r="E183" s="123"/>
      <c r="F183" s="21">
        <f>'Stavební rozpočet'!J305</f>
        <v>0</v>
      </c>
      <c r="G183" s="21">
        <v>0</v>
      </c>
      <c r="H183" s="21">
        <f t="shared" si="10"/>
        <v>0</v>
      </c>
      <c r="I183" s="21">
        <f t="shared" si="11"/>
        <v>0</v>
      </c>
      <c r="J183" s="21">
        <f>'Stavební rozpočet'!F305</f>
        <v>3.15</v>
      </c>
      <c r="K183" s="21">
        <v>0</v>
      </c>
      <c r="L183" s="59">
        <v>3.15</v>
      </c>
      <c r="M183" s="67" t="str">
        <f t="shared" si="12"/>
        <v>Nefakturováno</v>
      </c>
      <c r="N183" s="21">
        <f t="shared" si="13"/>
        <v>0</v>
      </c>
      <c r="O183" s="21">
        <f t="shared" si="14"/>
        <v>-100</v>
      </c>
      <c r="AE183" s="21">
        <v>0</v>
      </c>
    </row>
    <row r="184" spans="1:31" ht="12.75">
      <c r="A184" s="5" t="s">
        <v>127</v>
      </c>
      <c r="B184" s="5" t="s">
        <v>10</v>
      </c>
      <c r="C184" s="5" t="s">
        <v>194</v>
      </c>
      <c r="D184" s="122" t="s">
        <v>271</v>
      </c>
      <c r="E184" s="123"/>
      <c r="F184" s="21">
        <f>'Stavební rozpočet'!J307</f>
        <v>0</v>
      </c>
      <c r="G184" s="21">
        <v>0</v>
      </c>
      <c r="H184" s="21">
        <f t="shared" si="10"/>
        <v>0</v>
      </c>
      <c r="I184" s="21">
        <f t="shared" si="11"/>
        <v>0</v>
      </c>
      <c r="J184" s="21">
        <f>'Stavební rozpočet'!F307</f>
        <v>3.15</v>
      </c>
      <c r="K184" s="21">
        <v>0</v>
      </c>
      <c r="L184" s="59">
        <v>3.15</v>
      </c>
      <c r="M184" s="67" t="str">
        <f t="shared" si="12"/>
        <v>Nefakturováno</v>
      </c>
      <c r="N184" s="21">
        <f t="shared" si="13"/>
        <v>0</v>
      </c>
      <c r="O184" s="21">
        <f t="shared" si="14"/>
        <v>-100</v>
      </c>
      <c r="AE184" s="21">
        <v>0</v>
      </c>
    </row>
    <row r="185" spans="1:31" ht="12.75">
      <c r="A185" s="15"/>
      <c r="B185" s="15" t="s">
        <v>11</v>
      </c>
      <c r="C185" s="15"/>
      <c r="D185" s="126" t="s">
        <v>332</v>
      </c>
      <c r="E185" s="127"/>
      <c r="F185" s="41">
        <f>F186+F189+F191+F195+F198+F200+F203+F208+F211+F213</f>
        <v>0</v>
      </c>
      <c r="G185" s="41">
        <f>G186+G189+G191+G195+G198+G200+G203+G208+G211+G213</f>
        <v>0</v>
      </c>
      <c r="H185" s="41">
        <f t="shared" si="10"/>
        <v>0</v>
      </c>
      <c r="I185" s="41">
        <f t="shared" si="11"/>
        <v>0</v>
      </c>
      <c r="J185" s="41">
        <f>J186+J189+J191+J195+J198+J200+J203+J208+J211+J213</f>
        <v>44.2845</v>
      </c>
      <c r="K185" s="41">
        <f>K186+K189+K191+K195+K198+K200+K203+K208+K211+K213</f>
        <v>0</v>
      </c>
      <c r="L185" s="64">
        <f>J185-K185</f>
        <v>44.2845</v>
      </c>
      <c r="M185" s="69" t="str">
        <f t="shared" si="12"/>
        <v>Nefakturováno</v>
      </c>
      <c r="N185" s="41">
        <f t="shared" si="13"/>
        <v>0</v>
      </c>
      <c r="O185" s="41">
        <f t="shared" si="14"/>
        <v>-100</v>
      </c>
      <c r="AE185" s="21">
        <v>0</v>
      </c>
    </row>
    <row r="186" spans="1:31" ht="12.75">
      <c r="A186" s="14"/>
      <c r="B186" s="14" t="s">
        <v>11</v>
      </c>
      <c r="C186" s="14" t="s">
        <v>67</v>
      </c>
      <c r="D186" s="120" t="s">
        <v>206</v>
      </c>
      <c r="E186" s="121"/>
      <c r="F186" s="40">
        <f>SUM(F187:F188)</f>
        <v>0</v>
      </c>
      <c r="G186" s="40">
        <f>SUM(G187:G188)</f>
        <v>0</v>
      </c>
      <c r="H186" s="40">
        <f t="shared" si="10"/>
        <v>0</v>
      </c>
      <c r="I186" s="40">
        <f t="shared" si="11"/>
        <v>0</v>
      </c>
      <c r="J186" s="40">
        <f>SUM(J187:J188)</f>
        <v>5.369999999999999</v>
      </c>
      <c r="K186" s="40">
        <f>SUM(K187:K188)</f>
        <v>0</v>
      </c>
      <c r="L186" s="63">
        <f>J186-K186</f>
        <v>5.369999999999999</v>
      </c>
      <c r="M186" s="66" t="str">
        <f t="shared" si="12"/>
        <v>Nefakturováno</v>
      </c>
      <c r="N186" s="40">
        <f t="shared" si="13"/>
        <v>0</v>
      </c>
      <c r="O186" s="40">
        <f t="shared" si="14"/>
        <v>-100</v>
      </c>
      <c r="AE186" s="21">
        <v>0</v>
      </c>
    </row>
    <row r="187" spans="1:31" ht="12.75">
      <c r="A187" s="5" t="s">
        <v>128</v>
      </c>
      <c r="B187" s="5" t="s">
        <v>11</v>
      </c>
      <c r="C187" s="5" t="s">
        <v>154</v>
      </c>
      <c r="D187" s="122" t="s">
        <v>207</v>
      </c>
      <c r="E187" s="123"/>
      <c r="F187" s="21">
        <f>'Stavební rozpočet'!J311</f>
        <v>0</v>
      </c>
      <c r="G187" s="21">
        <v>0</v>
      </c>
      <c r="H187" s="21">
        <f t="shared" si="10"/>
        <v>0</v>
      </c>
      <c r="I187" s="21">
        <f t="shared" si="11"/>
        <v>0</v>
      </c>
      <c r="J187" s="21">
        <f>'Stavební rozpočet'!F311</f>
        <v>2.61</v>
      </c>
      <c r="K187" s="21">
        <v>0</v>
      </c>
      <c r="L187" s="59">
        <v>2.61</v>
      </c>
      <c r="M187" s="67" t="str">
        <f t="shared" si="12"/>
        <v>Nefakturováno</v>
      </c>
      <c r="N187" s="21">
        <f t="shared" si="13"/>
        <v>0</v>
      </c>
      <c r="O187" s="21">
        <f t="shared" si="14"/>
        <v>-100</v>
      </c>
      <c r="AE187" s="21">
        <v>0</v>
      </c>
    </row>
    <row r="188" spans="1:31" ht="12.75">
      <c r="A188" s="5" t="s">
        <v>129</v>
      </c>
      <c r="B188" s="5" t="s">
        <v>11</v>
      </c>
      <c r="C188" s="5" t="s">
        <v>155</v>
      </c>
      <c r="D188" s="122" t="s">
        <v>209</v>
      </c>
      <c r="E188" s="123"/>
      <c r="F188" s="21">
        <f>'Stavební rozpočet'!J313</f>
        <v>0</v>
      </c>
      <c r="G188" s="21">
        <v>0</v>
      </c>
      <c r="H188" s="21">
        <f t="shared" si="10"/>
        <v>0</v>
      </c>
      <c r="I188" s="21">
        <f t="shared" si="11"/>
        <v>0</v>
      </c>
      <c r="J188" s="21">
        <f>'Stavební rozpočet'!F313</f>
        <v>2.76</v>
      </c>
      <c r="K188" s="21">
        <v>0</v>
      </c>
      <c r="L188" s="59">
        <v>2.76</v>
      </c>
      <c r="M188" s="67" t="str">
        <f t="shared" si="12"/>
        <v>Nefakturováno</v>
      </c>
      <c r="N188" s="21">
        <f t="shared" si="13"/>
        <v>0</v>
      </c>
      <c r="O188" s="21">
        <f t="shared" si="14"/>
        <v>-100</v>
      </c>
      <c r="AE188" s="21">
        <v>0</v>
      </c>
    </row>
    <row r="189" spans="1:31" ht="12.75">
      <c r="A189" s="14"/>
      <c r="B189" s="14" t="s">
        <v>11</v>
      </c>
      <c r="C189" s="14" t="s">
        <v>156</v>
      </c>
      <c r="D189" s="120" t="s">
        <v>211</v>
      </c>
      <c r="E189" s="121"/>
      <c r="F189" s="40">
        <f>SUM(F190:F190)</f>
        <v>0</v>
      </c>
      <c r="G189" s="40">
        <f>SUM(G190:G190)</f>
        <v>0</v>
      </c>
      <c r="H189" s="40">
        <f t="shared" si="10"/>
        <v>0</v>
      </c>
      <c r="I189" s="40">
        <f t="shared" si="11"/>
        <v>0</v>
      </c>
      <c r="J189" s="40">
        <f>SUM(J190:J190)</f>
        <v>2</v>
      </c>
      <c r="K189" s="40">
        <f>SUM(K190:K190)</f>
        <v>0</v>
      </c>
      <c r="L189" s="63">
        <f>J189-K189</f>
        <v>2</v>
      </c>
      <c r="M189" s="66" t="str">
        <f t="shared" si="12"/>
        <v>Nefakturováno</v>
      </c>
      <c r="N189" s="40">
        <f t="shared" si="13"/>
        <v>0</v>
      </c>
      <c r="O189" s="40">
        <f t="shared" si="14"/>
        <v>-100</v>
      </c>
      <c r="AE189" s="21">
        <v>0</v>
      </c>
    </row>
    <row r="190" spans="1:31" ht="12.75">
      <c r="A190" s="5" t="s">
        <v>130</v>
      </c>
      <c r="B190" s="5" t="s">
        <v>11</v>
      </c>
      <c r="C190" s="5" t="s">
        <v>157</v>
      </c>
      <c r="D190" s="122" t="s">
        <v>212</v>
      </c>
      <c r="E190" s="123"/>
      <c r="F190" s="21">
        <f>'Stavební rozpočet'!J316</f>
        <v>0</v>
      </c>
      <c r="G190" s="21">
        <v>0</v>
      </c>
      <c r="H190" s="21">
        <f t="shared" si="10"/>
        <v>0</v>
      </c>
      <c r="I190" s="21">
        <f t="shared" si="11"/>
        <v>0</v>
      </c>
      <c r="J190" s="21">
        <f>'Stavební rozpočet'!F316</f>
        <v>2</v>
      </c>
      <c r="K190" s="21">
        <v>0</v>
      </c>
      <c r="L190" s="59">
        <v>2</v>
      </c>
      <c r="M190" s="67" t="str">
        <f t="shared" si="12"/>
        <v>Nefakturováno</v>
      </c>
      <c r="N190" s="21">
        <f t="shared" si="13"/>
        <v>0</v>
      </c>
      <c r="O190" s="21">
        <f t="shared" si="14"/>
        <v>-100</v>
      </c>
      <c r="AE190" s="21">
        <v>0</v>
      </c>
    </row>
    <row r="191" spans="1:31" ht="12.75">
      <c r="A191" s="14"/>
      <c r="B191" s="14" t="s">
        <v>11</v>
      </c>
      <c r="C191" s="14" t="s">
        <v>70</v>
      </c>
      <c r="D191" s="120" t="s">
        <v>214</v>
      </c>
      <c r="E191" s="121"/>
      <c r="F191" s="40">
        <f>SUM(F192:F194)</f>
        <v>0</v>
      </c>
      <c r="G191" s="40">
        <f>SUM(G192:G194)</f>
        <v>0</v>
      </c>
      <c r="H191" s="40">
        <f t="shared" si="10"/>
        <v>0</v>
      </c>
      <c r="I191" s="40">
        <f t="shared" si="11"/>
        <v>0</v>
      </c>
      <c r="J191" s="40">
        <f>SUM(J192:J194)</f>
        <v>9.200000000000001</v>
      </c>
      <c r="K191" s="40">
        <f>SUM(K192:K194)</f>
        <v>0</v>
      </c>
      <c r="L191" s="63">
        <f>J191-K191</f>
        <v>9.200000000000001</v>
      </c>
      <c r="M191" s="66" t="str">
        <f t="shared" si="12"/>
        <v>Nefakturováno</v>
      </c>
      <c r="N191" s="40">
        <f t="shared" si="13"/>
        <v>0</v>
      </c>
      <c r="O191" s="40">
        <f t="shared" si="14"/>
        <v>-100</v>
      </c>
      <c r="AE191" s="21">
        <v>0</v>
      </c>
    </row>
    <row r="192" spans="1:31" ht="12.75">
      <c r="A192" s="5" t="s">
        <v>131</v>
      </c>
      <c r="B192" s="5" t="s">
        <v>11</v>
      </c>
      <c r="C192" s="5" t="s">
        <v>158</v>
      </c>
      <c r="D192" s="122" t="s">
        <v>215</v>
      </c>
      <c r="E192" s="123"/>
      <c r="F192" s="21">
        <f>'Stavební rozpočet'!J319</f>
        <v>0</v>
      </c>
      <c r="G192" s="21">
        <v>0</v>
      </c>
      <c r="H192" s="21">
        <f t="shared" si="10"/>
        <v>0</v>
      </c>
      <c r="I192" s="21">
        <f t="shared" si="11"/>
        <v>0</v>
      </c>
      <c r="J192" s="21">
        <f>'Stavební rozpočet'!F319</f>
        <v>1</v>
      </c>
      <c r="K192" s="21">
        <v>0</v>
      </c>
      <c r="L192" s="59">
        <v>1</v>
      </c>
      <c r="M192" s="67" t="str">
        <f t="shared" si="12"/>
        <v>Nefakturováno</v>
      </c>
      <c r="N192" s="21">
        <f t="shared" si="13"/>
        <v>0</v>
      </c>
      <c r="O192" s="21">
        <f t="shared" si="14"/>
        <v>-100</v>
      </c>
      <c r="AE192" s="21">
        <v>0</v>
      </c>
    </row>
    <row r="193" spans="1:31" ht="12.75">
      <c r="A193" s="5" t="s">
        <v>132</v>
      </c>
      <c r="B193" s="5" t="s">
        <v>11</v>
      </c>
      <c r="C193" s="5" t="s">
        <v>159</v>
      </c>
      <c r="D193" s="122" t="s">
        <v>217</v>
      </c>
      <c r="E193" s="123"/>
      <c r="F193" s="21">
        <f>'Stavební rozpočet'!J321</f>
        <v>0</v>
      </c>
      <c r="G193" s="21">
        <v>0</v>
      </c>
      <c r="H193" s="21">
        <f t="shared" si="10"/>
        <v>0</v>
      </c>
      <c r="I193" s="21">
        <f t="shared" si="11"/>
        <v>0</v>
      </c>
      <c r="J193" s="21">
        <f>'Stavební rozpočet'!F321</f>
        <v>6.9</v>
      </c>
      <c r="K193" s="21">
        <v>0</v>
      </c>
      <c r="L193" s="59">
        <v>6.9</v>
      </c>
      <c r="M193" s="67" t="str">
        <f t="shared" si="12"/>
        <v>Nefakturováno</v>
      </c>
      <c r="N193" s="21">
        <f t="shared" si="13"/>
        <v>0</v>
      </c>
      <c r="O193" s="21">
        <f t="shared" si="14"/>
        <v>-100</v>
      </c>
      <c r="AE193" s="21">
        <v>0</v>
      </c>
    </row>
    <row r="194" spans="1:31" ht="12.75">
      <c r="A194" s="5" t="s">
        <v>133</v>
      </c>
      <c r="B194" s="5" t="s">
        <v>11</v>
      </c>
      <c r="C194" s="5" t="s">
        <v>161</v>
      </c>
      <c r="D194" s="122" t="s">
        <v>221</v>
      </c>
      <c r="E194" s="123"/>
      <c r="F194" s="21">
        <f>'Stavební rozpočet'!J323</f>
        <v>0</v>
      </c>
      <c r="G194" s="21">
        <v>0</v>
      </c>
      <c r="H194" s="21">
        <f t="shared" si="10"/>
        <v>0</v>
      </c>
      <c r="I194" s="21">
        <f t="shared" si="11"/>
        <v>0</v>
      </c>
      <c r="J194" s="21">
        <f>'Stavební rozpočet'!F323</f>
        <v>1.3</v>
      </c>
      <c r="K194" s="21">
        <v>0</v>
      </c>
      <c r="L194" s="59">
        <v>1.3</v>
      </c>
      <c r="M194" s="67" t="str">
        <f t="shared" si="12"/>
        <v>Nefakturováno</v>
      </c>
      <c r="N194" s="21">
        <f t="shared" si="13"/>
        <v>0</v>
      </c>
      <c r="O194" s="21">
        <f t="shared" si="14"/>
        <v>-100</v>
      </c>
      <c r="AE194" s="21">
        <v>0</v>
      </c>
    </row>
    <row r="195" spans="1:31" ht="12.75">
      <c r="A195" s="14"/>
      <c r="B195" s="14" t="s">
        <v>11</v>
      </c>
      <c r="C195" s="14" t="s">
        <v>162</v>
      </c>
      <c r="D195" s="120" t="s">
        <v>223</v>
      </c>
      <c r="E195" s="121"/>
      <c r="F195" s="40">
        <f>SUM(F196:F197)</f>
        <v>0</v>
      </c>
      <c r="G195" s="40">
        <f>SUM(G196:G197)</f>
        <v>0</v>
      </c>
      <c r="H195" s="40">
        <f t="shared" si="10"/>
        <v>0</v>
      </c>
      <c r="I195" s="40">
        <f t="shared" si="11"/>
        <v>0</v>
      </c>
      <c r="J195" s="40">
        <f>SUM(J196:J197)</f>
        <v>3.6</v>
      </c>
      <c r="K195" s="40">
        <f>SUM(K196:K197)</f>
        <v>0</v>
      </c>
      <c r="L195" s="63">
        <f>J195-K195</f>
        <v>3.6</v>
      </c>
      <c r="M195" s="66" t="str">
        <f t="shared" si="12"/>
        <v>Nefakturováno</v>
      </c>
      <c r="N195" s="40">
        <f t="shared" si="13"/>
        <v>0</v>
      </c>
      <c r="O195" s="40">
        <f t="shared" si="14"/>
        <v>-100</v>
      </c>
      <c r="AE195" s="21">
        <v>0</v>
      </c>
    </row>
    <row r="196" spans="1:31" ht="12.75">
      <c r="A196" s="5" t="s">
        <v>134</v>
      </c>
      <c r="B196" s="5" t="s">
        <v>11</v>
      </c>
      <c r="C196" s="5" t="s">
        <v>163</v>
      </c>
      <c r="D196" s="122" t="s">
        <v>224</v>
      </c>
      <c r="E196" s="123"/>
      <c r="F196" s="21">
        <f>'Stavební rozpočet'!J326</f>
        <v>0</v>
      </c>
      <c r="G196" s="21">
        <v>0</v>
      </c>
      <c r="H196" s="21">
        <f t="shared" si="10"/>
        <v>0</v>
      </c>
      <c r="I196" s="21">
        <f t="shared" si="11"/>
        <v>0</v>
      </c>
      <c r="J196" s="21">
        <f>'Stavební rozpočet'!F326</f>
        <v>1.8</v>
      </c>
      <c r="K196" s="21">
        <v>0</v>
      </c>
      <c r="L196" s="59">
        <v>1.8</v>
      </c>
      <c r="M196" s="67" t="str">
        <f t="shared" si="12"/>
        <v>Nefakturováno</v>
      </c>
      <c r="N196" s="21">
        <f t="shared" si="13"/>
        <v>0</v>
      </c>
      <c r="O196" s="21">
        <f t="shared" si="14"/>
        <v>-100</v>
      </c>
      <c r="AE196" s="21">
        <v>0</v>
      </c>
    </row>
    <row r="197" spans="1:31" ht="12.75">
      <c r="A197" s="5" t="s">
        <v>135</v>
      </c>
      <c r="B197" s="5" t="s">
        <v>11</v>
      </c>
      <c r="C197" s="5" t="s">
        <v>164</v>
      </c>
      <c r="D197" s="122" t="s">
        <v>226</v>
      </c>
      <c r="E197" s="123"/>
      <c r="F197" s="21">
        <f>'Stavební rozpočet'!J328</f>
        <v>0</v>
      </c>
      <c r="G197" s="21">
        <v>0</v>
      </c>
      <c r="H197" s="21">
        <f t="shared" si="10"/>
        <v>0</v>
      </c>
      <c r="I197" s="21">
        <f t="shared" si="11"/>
        <v>0</v>
      </c>
      <c r="J197" s="21">
        <f>'Stavební rozpočet'!F328</f>
        <v>1.8</v>
      </c>
      <c r="K197" s="21">
        <v>0</v>
      </c>
      <c r="L197" s="59">
        <v>1.8</v>
      </c>
      <c r="M197" s="67" t="str">
        <f t="shared" si="12"/>
        <v>Nefakturováno</v>
      </c>
      <c r="N197" s="21">
        <f t="shared" si="13"/>
        <v>0</v>
      </c>
      <c r="O197" s="21">
        <f t="shared" si="14"/>
        <v>-100</v>
      </c>
      <c r="AE197" s="21">
        <v>0</v>
      </c>
    </row>
    <row r="198" spans="1:31" ht="12.75">
      <c r="A198" s="14"/>
      <c r="B198" s="14" t="s">
        <v>11</v>
      </c>
      <c r="C198" s="14" t="s">
        <v>165</v>
      </c>
      <c r="D198" s="120" t="s">
        <v>227</v>
      </c>
      <c r="E198" s="121"/>
      <c r="F198" s="40">
        <f>SUM(F199:F199)</f>
        <v>0</v>
      </c>
      <c r="G198" s="40">
        <f>SUM(G199:G199)</f>
        <v>0</v>
      </c>
      <c r="H198" s="40">
        <f t="shared" si="10"/>
        <v>0</v>
      </c>
      <c r="I198" s="40">
        <f t="shared" si="11"/>
        <v>0</v>
      </c>
      <c r="J198" s="40">
        <f>SUM(J199:J199)</f>
        <v>1</v>
      </c>
      <c r="K198" s="40">
        <f>SUM(K199:K199)</f>
        <v>0</v>
      </c>
      <c r="L198" s="63">
        <f>J198-K198</f>
        <v>1</v>
      </c>
      <c r="M198" s="66" t="str">
        <f t="shared" si="12"/>
        <v>Nefakturováno</v>
      </c>
      <c r="N198" s="40">
        <f t="shared" si="13"/>
        <v>0</v>
      </c>
      <c r="O198" s="40">
        <f t="shared" si="14"/>
        <v>-100</v>
      </c>
      <c r="AE198" s="21">
        <v>0</v>
      </c>
    </row>
    <row r="199" spans="1:31" ht="12.75">
      <c r="A199" s="5" t="s">
        <v>136</v>
      </c>
      <c r="B199" s="5" t="s">
        <v>11</v>
      </c>
      <c r="C199" s="5" t="s">
        <v>167</v>
      </c>
      <c r="D199" s="122" t="s">
        <v>230</v>
      </c>
      <c r="E199" s="123"/>
      <c r="F199" s="21">
        <f>'Stavební rozpočet'!J331</f>
        <v>0</v>
      </c>
      <c r="G199" s="21">
        <v>0</v>
      </c>
      <c r="H199" s="21">
        <f t="shared" si="10"/>
        <v>0</v>
      </c>
      <c r="I199" s="21">
        <f t="shared" si="11"/>
        <v>0</v>
      </c>
      <c r="J199" s="21">
        <f>'Stavební rozpočet'!F331</f>
        <v>1</v>
      </c>
      <c r="K199" s="21">
        <v>0</v>
      </c>
      <c r="L199" s="59">
        <v>1</v>
      </c>
      <c r="M199" s="67" t="str">
        <f t="shared" si="12"/>
        <v>Nefakturováno</v>
      </c>
      <c r="N199" s="21">
        <f t="shared" si="13"/>
        <v>0</v>
      </c>
      <c r="O199" s="21">
        <f t="shared" si="14"/>
        <v>-100</v>
      </c>
      <c r="AE199" s="21">
        <v>0</v>
      </c>
    </row>
    <row r="200" spans="1:31" ht="12.75">
      <c r="A200" s="14"/>
      <c r="B200" s="14" t="s">
        <v>11</v>
      </c>
      <c r="C200" s="14" t="s">
        <v>173</v>
      </c>
      <c r="D200" s="120" t="s">
        <v>237</v>
      </c>
      <c r="E200" s="121"/>
      <c r="F200" s="40">
        <f>SUM(F201:F202)</f>
        <v>0</v>
      </c>
      <c r="G200" s="40">
        <f>SUM(G201:G202)</f>
        <v>0</v>
      </c>
      <c r="H200" s="40">
        <f t="shared" si="10"/>
        <v>0</v>
      </c>
      <c r="I200" s="40">
        <f t="shared" si="11"/>
        <v>0</v>
      </c>
      <c r="J200" s="40">
        <f>SUM(J201:J202)</f>
        <v>5.22</v>
      </c>
      <c r="K200" s="40">
        <f>SUM(K201:K202)</f>
        <v>0</v>
      </c>
      <c r="L200" s="63">
        <f>J200-K200</f>
        <v>5.22</v>
      </c>
      <c r="M200" s="66" t="str">
        <f t="shared" si="12"/>
        <v>Nefakturováno</v>
      </c>
      <c r="N200" s="40">
        <f t="shared" si="13"/>
        <v>0</v>
      </c>
      <c r="O200" s="40">
        <f t="shared" si="14"/>
        <v>-100</v>
      </c>
      <c r="AE200" s="21">
        <v>0</v>
      </c>
    </row>
    <row r="201" spans="1:31" ht="12.75">
      <c r="A201" s="5" t="s">
        <v>137</v>
      </c>
      <c r="B201" s="5" t="s">
        <v>11</v>
      </c>
      <c r="C201" s="5" t="s">
        <v>174</v>
      </c>
      <c r="D201" s="122" t="s">
        <v>238</v>
      </c>
      <c r="E201" s="123"/>
      <c r="F201" s="21">
        <f>'Stavební rozpočet'!J334</f>
        <v>0</v>
      </c>
      <c r="G201" s="21">
        <v>0</v>
      </c>
      <c r="H201" s="21">
        <f t="shared" si="10"/>
        <v>0</v>
      </c>
      <c r="I201" s="21">
        <f t="shared" si="11"/>
        <v>0</v>
      </c>
      <c r="J201" s="21">
        <f>'Stavební rozpočet'!F334</f>
        <v>2.61</v>
      </c>
      <c r="K201" s="21">
        <v>0</v>
      </c>
      <c r="L201" s="59">
        <v>2.61</v>
      </c>
      <c r="M201" s="67" t="str">
        <f t="shared" si="12"/>
        <v>Nefakturováno</v>
      </c>
      <c r="N201" s="21">
        <f t="shared" si="13"/>
        <v>0</v>
      </c>
      <c r="O201" s="21">
        <f t="shared" si="14"/>
        <v>-100</v>
      </c>
      <c r="AE201" s="21">
        <v>0</v>
      </c>
    </row>
    <row r="202" spans="1:31" ht="12.75">
      <c r="A202" s="5" t="s">
        <v>138</v>
      </c>
      <c r="B202" s="5" t="s">
        <v>11</v>
      </c>
      <c r="C202" s="5" t="s">
        <v>175</v>
      </c>
      <c r="D202" s="122" t="s">
        <v>240</v>
      </c>
      <c r="E202" s="123"/>
      <c r="F202" s="21">
        <f>'Stavební rozpočet'!J336</f>
        <v>0</v>
      </c>
      <c r="G202" s="21">
        <v>0</v>
      </c>
      <c r="H202" s="21">
        <f t="shared" si="10"/>
        <v>0</v>
      </c>
      <c r="I202" s="21">
        <f t="shared" si="11"/>
        <v>0</v>
      </c>
      <c r="J202" s="21">
        <f>'Stavební rozpočet'!F336</f>
        <v>2.61</v>
      </c>
      <c r="K202" s="21">
        <v>0</v>
      </c>
      <c r="L202" s="59">
        <v>2.61</v>
      </c>
      <c r="M202" s="67" t="str">
        <f t="shared" si="12"/>
        <v>Nefakturováno</v>
      </c>
      <c r="N202" s="21">
        <f t="shared" si="13"/>
        <v>0</v>
      </c>
      <c r="O202" s="21">
        <f t="shared" si="14"/>
        <v>-100</v>
      </c>
      <c r="AE202" s="21">
        <v>0</v>
      </c>
    </row>
    <row r="203" spans="1:31" ht="12.75">
      <c r="A203" s="14"/>
      <c r="B203" s="14" t="s">
        <v>11</v>
      </c>
      <c r="C203" s="14" t="s">
        <v>102</v>
      </c>
      <c r="D203" s="120" t="s">
        <v>245</v>
      </c>
      <c r="E203" s="121"/>
      <c r="F203" s="40">
        <f>SUM(F204:F207)</f>
        <v>0</v>
      </c>
      <c r="G203" s="40">
        <f>SUM(G204:G207)</f>
        <v>0</v>
      </c>
      <c r="H203" s="40">
        <f aca="true" t="shared" si="15" ref="H203:H217">G203-F203</f>
        <v>0</v>
      </c>
      <c r="I203" s="40">
        <f aca="true" t="shared" si="16" ref="I203:I217">IF(F203=0,0,H203/F203*100)</f>
        <v>0</v>
      </c>
      <c r="J203" s="40">
        <f>SUM(J204:J207)</f>
        <v>11.1345</v>
      </c>
      <c r="K203" s="40">
        <f>SUM(K204:K207)</f>
        <v>0</v>
      </c>
      <c r="L203" s="63">
        <f>J203-K203</f>
        <v>11.1345</v>
      </c>
      <c r="M203" s="66" t="str">
        <f aca="true" t="shared" si="17" ref="M203:M217">IF(G203=0,"Nefakturováno",AE203)</f>
        <v>Nefakturováno</v>
      </c>
      <c r="N203" s="40">
        <f aca="true" t="shared" si="18" ref="N203:N217">AE203-G203</f>
        <v>0</v>
      </c>
      <c r="O203" s="40">
        <f aca="true" t="shared" si="19" ref="O203:O217">IF(G203&lt;&gt;0,N203/G203*100,-100)</f>
        <v>-100</v>
      </c>
      <c r="AE203" s="21">
        <v>0</v>
      </c>
    </row>
    <row r="204" spans="1:31" ht="12.75">
      <c r="A204" s="5" t="s">
        <v>139</v>
      </c>
      <c r="B204" s="5" t="s">
        <v>11</v>
      </c>
      <c r="C204" s="5" t="s">
        <v>179</v>
      </c>
      <c r="D204" s="122" t="s">
        <v>246</v>
      </c>
      <c r="E204" s="123"/>
      <c r="F204" s="21">
        <f>'Stavební rozpočet'!J339</f>
        <v>0</v>
      </c>
      <c r="G204" s="21">
        <v>0</v>
      </c>
      <c r="H204" s="21">
        <f t="shared" si="15"/>
        <v>0</v>
      </c>
      <c r="I204" s="21">
        <f t="shared" si="16"/>
        <v>0</v>
      </c>
      <c r="J204" s="21">
        <f>'Stavební rozpočet'!F339</f>
        <v>6</v>
      </c>
      <c r="K204" s="21">
        <v>0</v>
      </c>
      <c r="L204" s="59">
        <v>6</v>
      </c>
      <c r="M204" s="67" t="str">
        <f t="shared" si="17"/>
        <v>Nefakturováno</v>
      </c>
      <c r="N204" s="21">
        <f t="shared" si="18"/>
        <v>0</v>
      </c>
      <c r="O204" s="21">
        <f t="shared" si="19"/>
        <v>-100</v>
      </c>
      <c r="AE204" s="21">
        <v>0</v>
      </c>
    </row>
    <row r="205" spans="1:31" ht="12.75">
      <c r="A205" s="5" t="s">
        <v>140</v>
      </c>
      <c r="B205" s="5" t="s">
        <v>11</v>
      </c>
      <c r="C205" s="5" t="s">
        <v>180</v>
      </c>
      <c r="D205" s="122" t="s">
        <v>248</v>
      </c>
      <c r="E205" s="123"/>
      <c r="F205" s="21">
        <f>'Stavební rozpočet'!J341</f>
        <v>0</v>
      </c>
      <c r="G205" s="21">
        <v>0</v>
      </c>
      <c r="H205" s="21">
        <f t="shared" si="15"/>
        <v>0</v>
      </c>
      <c r="I205" s="21">
        <f t="shared" si="16"/>
        <v>0</v>
      </c>
      <c r="J205" s="21">
        <f>'Stavební rozpočet'!F341</f>
        <v>2.622</v>
      </c>
      <c r="K205" s="21">
        <v>0</v>
      </c>
      <c r="L205" s="59">
        <v>2.622</v>
      </c>
      <c r="M205" s="67" t="str">
        <f t="shared" si="17"/>
        <v>Nefakturováno</v>
      </c>
      <c r="N205" s="21">
        <f t="shared" si="18"/>
        <v>0</v>
      </c>
      <c r="O205" s="21">
        <f t="shared" si="19"/>
        <v>-100</v>
      </c>
      <c r="AE205" s="21">
        <v>0</v>
      </c>
    </row>
    <row r="206" spans="1:31" ht="12.75">
      <c r="A206" s="5" t="s">
        <v>141</v>
      </c>
      <c r="B206" s="5" t="s">
        <v>11</v>
      </c>
      <c r="C206" s="5" t="s">
        <v>183</v>
      </c>
      <c r="D206" s="122" t="s">
        <v>254</v>
      </c>
      <c r="E206" s="123"/>
      <c r="F206" s="21">
        <f>'Stavební rozpočet'!J343</f>
        <v>0</v>
      </c>
      <c r="G206" s="21">
        <v>0</v>
      </c>
      <c r="H206" s="21">
        <f t="shared" si="15"/>
        <v>0</v>
      </c>
      <c r="I206" s="21">
        <f t="shared" si="16"/>
        <v>0</v>
      </c>
      <c r="J206" s="21">
        <f>'Stavební rozpočet'!F343</f>
        <v>0.5</v>
      </c>
      <c r="K206" s="21">
        <v>0</v>
      </c>
      <c r="L206" s="59">
        <v>0.5</v>
      </c>
      <c r="M206" s="67" t="str">
        <f t="shared" si="17"/>
        <v>Nefakturováno</v>
      </c>
      <c r="N206" s="21">
        <f t="shared" si="18"/>
        <v>0</v>
      </c>
      <c r="O206" s="21">
        <f t="shared" si="19"/>
        <v>-100</v>
      </c>
      <c r="AE206" s="21">
        <v>0</v>
      </c>
    </row>
    <row r="207" spans="1:31" ht="12.75">
      <c r="A207" s="5" t="s">
        <v>142</v>
      </c>
      <c r="B207" s="5" t="s">
        <v>11</v>
      </c>
      <c r="C207" s="5" t="s">
        <v>184</v>
      </c>
      <c r="D207" s="122" t="s">
        <v>256</v>
      </c>
      <c r="E207" s="123"/>
      <c r="F207" s="21">
        <f>'Stavební rozpočet'!J345</f>
        <v>0</v>
      </c>
      <c r="G207" s="21">
        <v>0</v>
      </c>
      <c r="H207" s="21">
        <f t="shared" si="15"/>
        <v>0</v>
      </c>
      <c r="I207" s="21">
        <f t="shared" si="16"/>
        <v>0</v>
      </c>
      <c r="J207" s="21">
        <f>'Stavební rozpočet'!F345</f>
        <v>2.0125</v>
      </c>
      <c r="K207" s="21">
        <v>0</v>
      </c>
      <c r="L207" s="59">
        <v>2.0125</v>
      </c>
      <c r="M207" s="67" t="str">
        <f t="shared" si="17"/>
        <v>Nefakturováno</v>
      </c>
      <c r="N207" s="21">
        <f t="shared" si="18"/>
        <v>0</v>
      </c>
      <c r="O207" s="21">
        <f t="shared" si="19"/>
        <v>-100</v>
      </c>
      <c r="AE207" s="21">
        <v>0</v>
      </c>
    </row>
    <row r="208" spans="1:31" ht="12.75">
      <c r="A208" s="14"/>
      <c r="B208" s="14" t="s">
        <v>11</v>
      </c>
      <c r="C208" s="14" t="s">
        <v>185</v>
      </c>
      <c r="D208" s="120" t="s">
        <v>258</v>
      </c>
      <c r="E208" s="121"/>
      <c r="F208" s="40">
        <f>SUM(F209:F210)</f>
        <v>0</v>
      </c>
      <c r="G208" s="40">
        <f>SUM(G209:G210)</f>
        <v>0</v>
      </c>
      <c r="H208" s="40">
        <f t="shared" si="15"/>
        <v>0</v>
      </c>
      <c r="I208" s="40">
        <f t="shared" si="16"/>
        <v>0</v>
      </c>
      <c r="J208" s="40">
        <f>SUM(J209:J210)</f>
        <v>5.46</v>
      </c>
      <c r="K208" s="40">
        <f>SUM(K209:K210)</f>
        <v>0</v>
      </c>
      <c r="L208" s="63">
        <f>J208-K208</f>
        <v>5.46</v>
      </c>
      <c r="M208" s="66" t="str">
        <f t="shared" si="17"/>
        <v>Nefakturováno</v>
      </c>
      <c r="N208" s="40">
        <f t="shared" si="18"/>
        <v>0</v>
      </c>
      <c r="O208" s="40">
        <f t="shared" si="19"/>
        <v>-100</v>
      </c>
      <c r="AE208" s="21">
        <v>0</v>
      </c>
    </row>
    <row r="209" spans="1:31" ht="12.75">
      <c r="A209" s="5" t="s">
        <v>143</v>
      </c>
      <c r="B209" s="5" t="s">
        <v>11</v>
      </c>
      <c r="C209" s="5" t="s">
        <v>186</v>
      </c>
      <c r="D209" s="122" t="s">
        <v>259</v>
      </c>
      <c r="E209" s="123"/>
      <c r="F209" s="21">
        <f>'Stavební rozpočet'!J348</f>
        <v>0</v>
      </c>
      <c r="G209" s="21">
        <v>0</v>
      </c>
      <c r="H209" s="21">
        <f t="shared" si="15"/>
        <v>0</v>
      </c>
      <c r="I209" s="21">
        <f t="shared" si="16"/>
        <v>0</v>
      </c>
      <c r="J209" s="21">
        <f>'Stavební rozpočet'!F348</f>
        <v>0.26</v>
      </c>
      <c r="K209" s="21">
        <v>0</v>
      </c>
      <c r="L209" s="59">
        <v>0.26</v>
      </c>
      <c r="M209" s="67" t="str">
        <f t="shared" si="17"/>
        <v>Nefakturováno</v>
      </c>
      <c r="N209" s="21">
        <f t="shared" si="18"/>
        <v>0</v>
      </c>
      <c r="O209" s="21">
        <f t="shared" si="19"/>
        <v>-100</v>
      </c>
      <c r="AE209" s="21">
        <v>0</v>
      </c>
    </row>
    <row r="210" spans="1:31" ht="12.75">
      <c r="A210" s="5" t="s">
        <v>144</v>
      </c>
      <c r="B210" s="5" t="s">
        <v>11</v>
      </c>
      <c r="C210" s="5" t="s">
        <v>187</v>
      </c>
      <c r="D210" s="122" t="s">
        <v>261</v>
      </c>
      <c r="E210" s="123"/>
      <c r="F210" s="21">
        <f>'Stavební rozpočet'!J350</f>
        <v>0</v>
      </c>
      <c r="G210" s="21">
        <v>0</v>
      </c>
      <c r="H210" s="21">
        <f t="shared" si="15"/>
        <v>0</v>
      </c>
      <c r="I210" s="21">
        <f t="shared" si="16"/>
        <v>0</v>
      </c>
      <c r="J210" s="21">
        <f>'Stavební rozpočet'!F350</f>
        <v>5.2</v>
      </c>
      <c r="K210" s="21">
        <v>0</v>
      </c>
      <c r="L210" s="59">
        <v>5.2</v>
      </c>
      <c r="M210" s="67" t="str">
        <f t="shared" si="17"/>
        <v>Nefakturováno</v>
      </c>
      <c r="N210" s="21">
        <f t="shared" si="18"/>
        <v>0</v>
      </c>
      <c r="O210" s="21">
        <f t="shared" si="19"/>
        <v>-100</v>
      </c>
      <c r="AE210" s="21">
        <v>0</v>
      </c>
    </row>
    <row r="211" spans="1:31" ht="12.75">
      <c r="A211" s="14"/>
      <c r="B211" s="14" t="s">
        <v>11</v>
      </c>
      <c r="C211" s="14" t="s">
        <v>188</v>
      </c>
      <c r="D211" s="120" t="s">
        <v>227</v>
      </c>
      <c r="E211" s="121"/>
      <c r="F211" s="40">
        <f>SUM(F212:F212)</f>
        <v>0</v>
      </c>
      <c r="G211" s="40">
        <f>SUM(G212:G212)</f>
        <v>0</v>
      </c>
      <c r="H211" s="40">
        <f t="shared" si="15"/>
        <v>0</v>
      </c>
      <c r="I211" s="40">
        <f t="shared" si="16"/>
        <v>0</v>
      </c>
      <c r="J211" s="40">
        <f>SUM(J212:J212)</f>
        <v>0.26</v>
      </c>
      <c r="K211" s="40">
        <f>SUM(K212:K212)</f>
        <v>0</v>
      </c>
      <c r="L211" s="63">
        <f>J211-K211</f>
        <v>0.26</v>
      </c>
      <c r="M211" s="66" t="str">
        <f t="shared" si="17"/>
        <v>Nefakturováno</v>
      </c>
      <c r="N211" s="40">
        <f t="shared" si="18"/>
        <v>0</v>
      </c>
      <c r="O211" s="40">
        <f t="shared" si="19"/>
        <v>-100</v>
      </c>
      <c r="AE211" s="21">
        <v>0</v>
      </c>
    </row>
    <row r="212" spans="1:31" ht="12.75">
      <c r="A212" s="5" t="s">
        <v>145</v>
      </c>
      <c r="B212" s="5" t="s">
        <v>11</v>
      </c>
      <c r="C212" s="5" t="s">
        <v>189</v>
      </c>
      <c r="D212" s="122" t="s">
        <v>263</v>
      </c>
      <c r="E212" s="123"/>
      <c r="F212" s="21">
        <f>'Stavební rozpočet'!J353</f>
        <v>0</v>
      </c>
      <c r="G212" s="21">
        <v>0</v>
      </c>
      <c r="H212" s="21">
        <f t="shared" si="15"/>
        <v>0</v>
      </c>
      <c r="I212" s="21">
        <f t="shared" si="16"/>
        <v>0</v>
      </c>
      <c r="J212" s="21">
        <f>'Stavební rozpočet'!F353</f>
        <v>0.26</v>
      </c>
      <c r="K212" s="21">
        <v>0</v>
      </c>
      <c r="L212" s="59">
        <v>0.26</v>
      </c>
      <c r="M212" s="67" t="str">
        <f t="shared" si="17"/>
        <v>Nefakturováno</v>
      </c>
      <c r="N212" s="21">
        <f t="shared" si="18"/>
        <v>0</v>
      </c>
      <c r="O212" s="21">
        <f t="shared" si="19"/>
        <v>-100</v>
      </c>
      <c r="AE212" s="21">
        <v>0</v>
      </c>
    </row>
    <row r="213" spans="1:31" ht="12.75">
      <c r="A213" s="14"/>
      <c r="B213" s="14" t="s">
        <v>11</v>
      </c>
      <c r="C213" s="14" t="s">
        <v>190</v>
      </c>
      <c r="D213" s="120" t="s">
        <v>265</v>
      </c>
      <c r="E213" s="121"/>
      <c r="F213" s="40">
        <f>SUM(F214:F217)</f>
        <v>0</v>
      </c>
      <c r="G213" s="40">
        <f>SUM(G214:G217)</f>
        <v>0</v>
      </c>
      <c r="H213" s="40">
        <f t="shared" si="15"/>
        <v>0</v>
      </c>
      <c r="I213" s="40">
        <f t="shared" si="16"/>
        <v>0</v>
      </c>
      <c r="J213" s="40">
        <f>SUM(J214:J217)</f>
        <v>1.04</v>
      </c>
      <c r="K213" s="40">
        <f>SUM(K214:K217)</f>
        <v>0</v>
      </c>
      <c r="L213" s="63">
        <f>J213-K213</f>
        <v>1.04</v>
      </c>
      <c r="M213" s="66" t="str">
        <f t="shared" si="17"/>
        <v>Nefakturováno</v>
      </c>
      <c r="N213" s="40">
        <f t="shared" si="18"/>
        <v>0</v>
      </c>
      <c r="O213" s="40">
        <f t="shared" si="19"/>
        <v>-100</v>
      </c>
      <c r="AE213" s="21">
        <v>0</v>
      </c>
    </row>
    <row r="214" spans="1:31" ht="12.75">
      <c r="A214" s="5" t="s">
        <v>146</v>
      </c>
      <c r="B214" s="5" t="s">
        <v>11</v>
      </c>
      <c r="C214" s="5" t="s">
        <v>191</v>
      </c>
      <c r="D214" s="122" t="s">
        <v>266</v>
      </c>
      <c r="E214" s="123"/>
      <c r="F214" s="21">
        <f>'Stavební rozpočet'!J356</f>
        <v>0</v>
      </c>
      <c r="G214" s="21">
        <v>0</v>
      </c>
      <c r="H214" s="21">
        <f t="shared" si="15"/>
        <v>0</v>
      </c>
      <c r="I214" s="21">
        <f t="shared" si="16"/>
        <v>0</v>
      </c>
      <c r="J214" s="21">
        <f>'Stavební rozpočet'!F356</f>
        <v>0.26</v>
      </c>
      <c r="K214" s="21">
        <v>0</v>
      </c>
      <c r="L214" s="59">
        <v>0.26</v>
      </c>
      <c r="M214" s="67" t="str">
        <f t="shared" si="17"/>
        <v>Nefakturováno</v>
      </c>
      <c r="N214" s="21">
        <f t="shared" si="18"/>
        <v>0</v>
      </c>
      <c r="O214" s="21">
        <f t="shared" si="19"/>
        <v>-100</v>
      </c>
      <c r="AE214" s="21">
        <v>0</v>
      </c>
    </row>
    <row r="215" spans="1:31" ht="12.75">
      <c r="A215" s="5" t="s">
        <v>147</v>
      </c>
      <c r="B215" s="5" t="s">
        <v>11</v>
      </c>
      <c r="C215" s="5" t="s">
        <v>192</v>
      </c>
      <c r="D215" s="122" t="s">
        <v>268</v>
      </c>
      <c r="E215" s="123"/>
      <c r="F215" s="21">
        <f>'Stavební rozpočet'!J358</f>
        <v>0</v>
      </c>
      <c r="G215" s="21">
        <v>0</v>
      </c>
      <c r="H215" s="21">
        <f t="shared" si="15"/>
        <v>0</v>
      </c>
      <c r="I215" s="21">
        <f t="shared" si="16"/>
        <v>0</v>
      </c>
      <c r="J215" s="21">
        <f>'Stavební rozpočet'!F358</f>
        <v>0.26</v>
      </c>
      <c r="K215" s="21">
        <v>0</v>
      </c>
      <c r="L215" s="59">
        <v>0.26</v>
      </c>
      <c r="M215" s="67" t="str">
        <f t="shared" si="17"/>
        <v>Nefakturováno</v>
      </c>
      <c r="N215" s="21">
        <f t="shared" si="18"/>
        <v>0</v>
      </c>
      <c r="O215" s="21">
        <f t="shared" si="19"/>
        <v>-100</v>
      </c>
      <c r="AE215" s="21">
        <v>0</v>
      </c>
    </row>
    <row r="216" spans="1:31" ht="12.75">
      <c r="A216" s="5" t="s">
        <v>148</v>
      </c>
      <c r="B216" s="5" t="s">
        <v>11</v>
      </c>
      <c r="C216" s="5" t="s">
        <v>193</v>
      </c>
      <c r="D216" s="122" t="s">
        <v>270</v>
      </c>
      <c r="E216" s="123"/>
      <c r="F216" s="21">
        <f>'Stavební rozpočet'!J360</f>
        <v>0</v>
      </c>
      <c r="G216" s="21">
        <v>0</v>
      </c>
      <c r="H216" s="21">
        <f t="shared" si="15"/>
        <v>0</v>
      </c>
      <c r="I216" s="21">
        <f t="shared" si="16"/>
        <v>0</v>
      </c>
      <c r="J216" s="21">
        <f>'Stavební rozpočet'!F360</f>
        <v>0.26</v>
      </c>
      <c r="K216" s="21">
        <v>0</v>
      </c>
      <c r="L216" s="59">
        <v>0.26</v>
      </c>
      <c r="M216" s="67" t="str">
        <f t="shared" si="17"/>
        <v>Nefakturováno</v>
      </c>
      <c r="N216" s="21">
        <f t="shared" si="18"/>
        <v>0</v>
      </c>
      <c r="O216" s="21">
        <f t="shared" si="19"/>
        <v>-100</v>
      </c>
      <c r="AE216" s="21">
        <v>0</v>
      </c>
    </row>
    <row r="217" spans="1:31" ht="12.75">
      <c r="A217" s="5" t="s">
        <v>149</v>
      </c>
      <c r="B217" s="5" t="s">
        <v>11</v>
      </c>
      <c r="C217" s="5" t="s">
        <v>194</v>
      </c>
      <c r="D217" s="122" t="s">
        <v>271</v>
      </c>
      <c r="E217" s="123"/>
      <c r="F217" s="21">
        <f>'Stavební rozpočet'!J362</f>
        <v>0</v>
      </c>
      <c r="G217" s="21">
        <v>0</v>
      </c>
      <c r="H217" s="21">
        <f t="shared" si="15"/>
        <v>0</v>
      </c>
      <c r="I217" s="21">
        <f t="shared" si="16"/>
        <v>0</v>
      </c>
      <c r="J217" s="21">
        <f>'Stavební rozpočet'!F362</f>
        <v>0.26</v>
      </c>
      <c r="K217" s="21">
        <v>0</v>
      </c>
      <c r="L217" s="59">
        <v>0.26</v>
      </c>
      <c r="M217" s="67" t="str">
        <f t="shared" si="17"/>
        <v>Nefakturováno</v>
      </c>
      <c r="N217" s="21">
        <f t="shared" si="18"/>
        <v>0</v>
      </c>
      <c r="O217" s="21">
        <f t="shared" si="19"/>
        <v>-100</v>
      </c>
      <c r="AE217" s="21">
        <v>0</v>
      </c>
    </row>
    <row r="219" ht="11.25" customHeight="1">
      <c r="A219" s="10" t="s">
        <v>150</v>
      </c>
    </row>
    <row r="220" spans="1:10" ht="12.75">
      <c r="A220" s="103"/>
      <c r="B220" s="95"/>
      <c r="C220" s="95"/>
      <c r="D220" s="95"/>
      <c r="E220" s="95"/>
      <c r="F220" s="95"/>
      <c r="G220" s="95"/>
      <c r="H220" s="95"/>
      <c r="I220" s="95"/>
      <c r="J220" s="95"/>
    </row>
  </sheetData>
  <sheetProtection/>
  <mergeCells count="234">
    <mergeCell ref="D214:E214"/>
    <mergeCell ref="D215:E215"/>
    <mergeCell ref="D216:E216"/>
    <mergeCell ref="D217:E217"/>
    <mergeCell ref="A220:J220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8:A9"/>
    <mergeCell ref="B8:D9"/>
    <mergeCell ref="E8:E9"/>
    <mergeCell ref="F8:F9"/>
    <mergeCell ref="G8:G9"/>
    <mergeCell ref="H8:O9"/>
    <mergeCell ref="A6:A7"/>
    <mergeCell ref="B6:D7"/>
    <mergeCell ref="E6:E7"/>
    <mergeCell ref="F6:F7"/>
    <mergeCell ref="G6:G7"/>
    <mergeCell ref="H6:O7"/>
    <mergeCell ref="A4:A5"/>
    <mergeCell ref="B4:D5"/>
    <mergeCell ref="E4:E5"/>
    <mergeCell ref="F4:F5"/>
    <mergeCell ref="G4:G5"/>
    <mergeCell ref="H4:O5"/>
    <mergeCell ref="A1:O1"/>
    <mergeCell ref="A2:A3"/>
    <mergeCell ref="B2:D3"/>
    <mergeCell ref="E2:E3"/>
    <mergeCell ref="F2:F3"/>
    <mergeCell ref="G2:G3"/>
    <mergeCell ref="H2:O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4"/>
      <c r="B1" s="8"/>
      <c r="C1" s="128" t="s">
        <v>467</v>
      </c>
      <c r="D1" s="129"/>
      <c r="E1" s="129"/>
      <c r="F1" s="129"/>
      <c r="G1" s="129"/>
      <c r="H1" s="129"/>
      <c r="I1" s="129"/>
    </row>
    <row r="2" spans="1:10" ht="12.75">
      <c r="A2" s="92" t="s">
        <v>1</v>
      </c>
      <c r="B2" s="93"/>
      <c r="C2" s="96" t="s">
        <v>197</v>
      </c>
      <c r="D2" s="109"/>
      <c r="E2" s="99" t="s">
        <v>364</v>
      </c>
      <c r="F2" s="99" t="str">
        <f>'Stavební rozpočet'!J2</f>
        <v>Střední vinařská škola Valtice</v>
      </c>
      <c r="G2" s="93"/>
      <c r="H2" s="99" t="s">
        <v>492</v>
      </c>
      <c r="I2" s="130"/>
      <c r="J2" s="35"/>
    </row>
    <row r="3" spans="1:10" ht="12.75">
      <c r="A3" s="94"/>
      <c r="B3" s="95"/>
      <c r="C3" s="97"/>
      <c r="D3" s="97"/>
      <c r="E3" s="95"/>
      <c r="F3" s="95"/>
      <c r="G3" s="95"/>
      <c r="H3" s="95"/>
      <c r="I3" s="101"/>
      <c r="J3" s="35"/>
    </row>
    <row r="4" spans="1:10" ht="12.75">
      <c r="A4" s="102" t="s">
        <v>2</v>
      </c>
      <c r="B4" s="95"/>
      <c r="C4" s="103" t="s">
        <v>198</v>
      </c>
      <c r="D4" s="95"/>
      <c r="E4" s="103" t="s">
        <v>365</v>
      </c>
      <c r="F4" s="103" t="str">
        <f>'Stavební rozpočet'!J4</f>
        <v>Ing.Zbyněk Rabušic</v>
      </c>
      <c r="G4" s="95"/>
      <c r="H4" s="103" t="s">
        <v>492</v>
      </c>
      <c r="I4" s="131"/>
      <c r="J4" s="35"/>
    </row>
    <row r="5" spans="1:10" ht="12.75">
      <c r="A5" s="94"/>
      <c r="B5" s="95"/>
      <c r="C5" s="95"/>
      <c r="D5" s="95"/>
      <c r="E5" s="95"/>
      <c r="F5" s="95"/>
      <c r="G5" s="95"/>
      <c r="H5" s="95"/>
      <c r="I5" s="101"/>
      <c r="J5" s="35"/>
    </row>
    <row r="6" spans="1:10" ht="12.75">
      <c r="A6" s="102" t="s">
        <v>3</v>
      </c>
      <c r="B6" s="95"/>
      <c r="C6" s="103" t="s">
        <v>199</v>
      </c>
      <c r="D6" s="95"/>
      <c r="E6" s="103" t="s">
        <v>366</v>
      </c>
      <c r="F6" s="103" t="str">
        <f>'Stavební rozpočet'!J6</f>
        <v>dle výběrového řízení</v>
      </c>
      <c r="G6" s="95"/>
      <c r="H6" s="103" t="s">
        <v>492</v>
      </c>
      <c r="I6" s="131"/>
      <c r="J6" s="35"/>
    </row>
    <row r="7" spans="1:10" ht="12.75">
      <c r="A7" s="94"/>
      <c r="B7" s="95"/>
      <c r="C7" s="95"/>
      <c r="D7" s="95"/>
      <c r="E7" s="95"/>
      <c r="F7" s="95"/>
      <c r="G7" s="95"/>
      <c r="H7" s="95"/>
      <c r="I7" s="101"/>
      <c r="J7" s="35"/>
    </row>
    <row r="8" spans="1:10" ht="12.75">
      <c r="A8" s="102" t="s">
        <v>346</v>
      </c>
      <c r="B8" s="95"/>
      <c r="C8" s="132" t="s">
        <v>6</v>
      </c>
      <c r="D8" s="95"/>
      <c r="E8" s="103" t="s">
        <v>347</v>
      </c>
      <c r="F8" s="103" t="str">
        <f>'Stavební rozpočet'!G6</f>
        <v> </v>
      </c>
      <c r="G8" s="95"/>
      <c r="H8" s="104" t="s">
        <v>493</v>
      </c>
      <c r="I8" s="131" t="s">
        <v>149</v>
      </c>
      <c r="J8" s="35"/>
    </row>
    <row r="9" spans="1:10" ht="12.75">
      <c r="A9" s="94"/>
      <c r="B9" s="95"/>
      <c r="C9" s="95"/>
      <c r="D9" s="95"/>
      <c r="E9" s="95"/>
      <c r="F9" s="95"/>
      <c r="G9" s="95"/>
      <c r="H9" s="95"/>
      <c r="I9" s="101"/>
      <c r="J9" s="35"/>
    </row>
    <row r="10" spans="1:10" ht="12.75">
      <c r="A10" s="102" t="s">
        <v>4</v>
      </c>
      <c r="B10" s="95"/>
      <c r="C10" s="103"/>
      <c r="D10" s="95"/>
      <c r="E10" s="103" t="s">
        <v>367</v>
      </c>
      <c r="F10" s="103" t="str">
        <f>'Stavební rozpočet'!J8</f>
        <v>Ing.Zbyněk Rabušic</v>
      </c>
      <c r="G10" s="95"/>
      <c r="H10" s="104" t="s">
        <v>494</v>
      </c>
      <c r="I10" s="135" t="str">
        <f>'Stavební rozpočet'!G8</f>
        <v>04.09.2018</v>
      </c>
      <c r="J10" s="35"/>
    </row>
    <row r="11" spans="1:10" ht="12.75">
      <c r="A11" s="133"/>
      <c r="B11" s="134"/>
      <c r="C11" s="134"/>
      <c r="D11" s="134"/>
      <c r="E11" s="134"/>
      <c r="F11" s="134"/>
      <c r="G11" s="134"/>
      <c r="H11" s="134"/>
      <c r="I11" s="136"/>
      <c r="J11" s="35"/>
    </row>
    <row r="12" spans="1:9" ht="23.25" customHeight="1">
      <c r="A12" s="137" t="s">
        <v>452</v>
      </c>
      <c r="B12" s="138"/>
      <c r="C12" s="138"/>
      <c r="D12" s="138"/>
      <c r="E12" s="138"/>
      <c r="F12" s="138"/>
      <c r="G12" s="138"/>
      <c r="H12" s="138"/>
      <c r="I12" s="138"/>
    </row>
    <row r="13" spans="1:10" ht="26.25" customHeight="1">
      <c r="A13" s="70" t="s">
        <v>453</v>
      </c>
      <c r="B13" s="139" t="s">
        <v>465</v>
      </c>
      <c r="C13" s="140"/>
      <c r="D13" s="70" t="s">
        <v>468</v>
      </c>
      <c r="E13" s="139" t="s">
        <v>477</v>
      </c>
      <c r="F13" s="140"/>
      <c r="G13" s="70" t="s">
        <v>478</v>
      </c>
      <c r="H13" s="139" t="s">
        <v>495</v>
      </c>
      <c r="I13" s="140"/>
      <c r="J13" s="35"/>
    </row>
    <row r="14" spans="1:10" ht="15" customHeight="1">
      <c r="A14" s="71" t="s">
        <v>454</v>
      </c>
      <c r="B14" s="74" t="s">
        <v>466</v>
      </c>
      <c r="C14" s="77">
        <f>SUM('Stavební rozpočet'!R12:R363)</f>
        <v>0</v>
      </c>
      <c r="D14" s="141" t="s">
        <v>469</v>
      </c>
      <c r="E14" s="142"/>
      <c r="F14" s="77">
        <v>0</v>
      </c>
      <c r="G14" s="141" t="s">
        <v>479</v>
      </c>
      <c r="H14" s="142"/>
      <c r="I14" s="77">
        <v>0</v>
      </c>
      <c r="J14" s="35"/>
    </row>
    <row r="15" spans="1:10" ht="15" customHeight="1">
      <c r="A15" s="72"/>
      <c r="B15" s="74" t="s">
        <v>368</v>
      </c>
      <c r="C15" s="77">
        <f>SUM('Stavební rozpočet'!S12:S363)</f>
        <v>0</v>
      </c>
      <c r="D15" s="141" t="s">
        <v>470</v>
      </c>
      <c r="E15" s="142"/>
      <c r="F15" s="77">
        <v>0</v>
      </c>
      <c r="G15" s="141" t="s">
        <v>480</v>
      </c>
      <c r="H15" s="142"/>
      <c r="I15" s="77">
        <v>0</v>
      </c>
      <c r="J15" s="35"/>
    </row>
    <row r="16" spans="1:10" ht="15" customHeight="1">
      <c r="A16" s="71" t="s">
        <v>455</v>
      </c>
      <c r="B16" s="74" t="s">
        <v>466</v>
      </c>
      <c r="C16" s="77">
        <f>SUM('Stavební rozpočet'!T12:T363)</f>
        <v>0</v>
      </c>
      <c r="D16" s="141" t="s">
        <v>471</v>
      </c>
      <c r="E16" s="142"/>
      <c r="F16" s="77">
        <v>0</v>
      </c>
      <c r="G16" s="141" t="s">
        <v>481</v>
      </c>
      <c r="H16" s="142"/>
      <c r="I16" s="77">
        <v>0</v>
      </c>
      <c r="J16" s="35"/>
    </row>
    <row r="17" spans="1:10" ht="15" customHeight="1">
      <c r="A17" s="72"/>
      <c r="B17" s="74" t="s">
        <v>368</v>
      </c>
      <c r="C17" s="77">
        <f>SUM('Stavební rozpočet'!U12:U363)</f>
        <v>0</v>
      </c>
      <c r="D17" s="141"/>
      <c r="E17" s="142"/>
      <c r="F17" s="78"/>
      <c r="G17" s="141" t="s">
        <v>482</v>
      </c>
      <c r="H17" s="142"/>
      <c r="I17" s="77">
        <v>0</v>
      </c>
      <c r="J17" s="35"/>
    </row>
    <row r="18" spans="1:10" ht="15" customHeight="1">
      <c r="A18" s="71" t="s">
        <v>456</v>
      </c>
      <c r="B18" s="74" t="s">
        <v>466</v>
      </c>
      <c r="C18" s="77">
        <f>SUM('Stavební rozpočet'!V12:V363)</f>
        <v>0</v>
      </c>
      <c r="D18" s="141"/>
      <c r="E18" s="142"/>
      <c r="F18" s="78"/>
      <c r="G18" s="141" t="s">
        <v>483</v>
      </c>
      <c r="H18" s="142"/>
      <c r="I18" s="77">
        <v>0</v>
      </c>
      <c r="J18" s="35"/>
    </row>
    <row r="19" spans="1:10" ht="15" customHeight="1">
      <c r="A19" s="72"/>
      <c r="B19" s="74" t="s">
        <v>368</v>
      </c>
      <c r="C19" s="77">
        <f>SUM('Stavební rozpočet'!W12:W363)</f>
        <v>0</v>
      </c>
      <c r="D19" s="141"/>
      <c r="E19" s="142"/>
      <c r="F19" s="78"/>
      <c r="G19" s="141" t="s">
        <v>484</v>
      </c>
      <c r="H19" s="142"/>
      <c r="I19" s="77">
        <v>0</v>
      </c>
      <c r="J19" s="35"/>
    </row>
    <row r="20" spans="1:10" ht="15" customHeight="1">
      <c r="A20" s="143" t="s">
        <v>457</v>
      </c>
      <c r="B20" s="144"/>
      <c r="C20" s="77">
        <f>SUM('Stavební rozpočet'!X12:X363)</f>
        <v>0</v>
      </c>
      <c r="D20" s="141"/>
      <c r="E20" s="142"/>
      <c r="F20" s="78"/>
      <c r="G20" s="141"/>
      <c r="H20" s="142"/>
      <c r="I20" s="78"/>
      <c r="J20" s="35"/>
    </row>
    <row r="21" spans="1:10" ht="15" customHeight="1">
      <c r="A21" s="143" t="s">
        <v>458</v>
      </c>
      <c r="B21" s="144"/>
      <c r="C21" s="77">
        <f>SUM('Stavební rozpočet'!P12:P363)</f>
        <v>0</v>
      </c>
      <c r="D21" s="141"/>
      <c r="E21" s="142"/>
      <c r="F21" s="78"/>
      <c r="G21" s="141"/>
      <c r="H21" s="142"/>
      <c r="I21" s="78"/>
      <c r="J21" s="35"/>
    </row>
    <row r="22" spans="1:10" ht="16.5" customHeight="1">
      <c r="A22" s="143" t="s">
        <v>459</v>
      </c>
      <c r="B22" s="144"/>
      <c r="C22" s="77">
        <f>ROUND(SUM(C14:C21),0)</f>
        <v>0</v>
      </c>
      <c r="D22" s="143" t="s">
        <v>472</v>
      </c>
      <c r="E22" s="144"/>
      <c r="F22" s="77">
        <f>SUM(F14:F21)</f>
        <v>0</v>
      </c>
      <c r="G22" s="143" t="s">
        <v>485</v>
      </c>
      <c r="H22" s="144"/>
      <c r="I22" s="77">
        <f>SUM(I14:I21)</f>
        <v>0</v>
      </c>
      <c r="J22" s="35"/>
    </row>
    <row r="23" spans="1:10" ht="15" customHeight="1">
      <c r="A23" s="9"/>
      <c r="B23" s="9"/>
      <c r="C23" s="75"/>
      <c r="D23" s="143" t="s">
        <v>473</v>
      </c>
      <c r="E23" s="144"/>
      <c r="F23" s="79">
        <v>0</v>
      </c>
      <c r="G23" s="143" t="s">
        <v>486</v>
      </c>
      <c r="H23" s="144"/>
      <c r="I23" s="77">
        <v>0</v>
      </c>
      <c r="J23" s="35"/>
    </row>
    <row r="24" spans="4:9" ht="15" customHeight="1">
      <c r="D24" s="9"/>
      <c r="E24" s="9"/>
      <c r="F24" s="80"/>
      <c r="G24" s="143" t="s">
        <v>487</v>
      </c>
      <c r="H24" s="144"/>
      <c r="I24" s="82"/>
    </row>
    <row r="25" spans="6:10" ht="15" customHeight="1">
      <c r="F25" s="81"/>
      <c r="G25" s="143" t="s">
        <v>488</v>
      </c>
      <c r="H25" s="144"/>
      <c r="I25" s="77">
        <v>0</v>
      </c>
      <c r="J25" s="35"/>
    </row>
    <row r="26" spans="1:9" ht="12.75">
      <c r="A26" s="8"/>
      <c r="B26" s="8"/>
      <c r="C26" s="8"/>
      <c r="G26" s="9"/>
      <c r="H26" s="9"/>
      <c r="I26" s="9"/>
    </row>
    <row r="27" spans="1:9" ht="15" customHeight="1">
      <c r="A27" s="145" t="s">
        <v>460</v>
      </c>
      <c r="B27" s="146"/>
      <c r="C27" s="83">
        <f>ROUND(SUM('Stavební rozpočet'!Z12:Z363),0)</f>
        <v>0</v>
      </c>
      <c r="D27" s="76"/>
      <c r="E27" s="8"/>
      <c r="F27" s="8"/>
      <c r="G27" s="8"/>
      <c r="H27" s="8"/>
      <c r="I27" s="8"/>
    </row>
    <row r="28" spans="1:10" ht="15" customHeight="1">
      <c r="A28" s="145" t="s">
        <v>461</v>
      </c>
      <c r="B28" s="146"/>
      <c r="C28" s="83">
        <f>ROUND(SUM('Stavební rozpočet'!AA12:AA363),0)</f>
        <v>0</v>
      </c>
      <c r="D28" s="145" t="s">
        <v>474</v>
      </c>
      <c r="E28" s="146"/>
      <c r="F28" s="83">
        <f>ROUND(C28*(15/100),2)</f>
        <v>0</v>
      </c>
      <c r="G28" s="145" t="s">
        <v>489</v>
      </c>
      <c r="H28" s="146"/>
      <c r="I28" s="83">
        <f>ROUND(SUM(C27:C29),0)</f>
        <v>0</v>
      </c>
      <c r="J28" s="35"/>
    </row>
    <row r="29" spans="1:10" ht="15" customHeight="1">
      <c r="A29" s="145" t="s">
        <v>462</v>
      </c>
      <c r="B29" s="146"/>
      <c r="C29" s="83">
        <f>ROUND(SUM('Stavební rozpočet'!AB12:AB363)+(F22+I22+F23+I23+I24+I25),0)</f>
        <v>0</v>
      </c>
      <c r="D29" s="145" t="s">
        <v>475</v>
      </c>
      <c r="E29" s="146"/>
      <c r="F29" s="83">
        <f>ROUND(C29*(21/100),2)</f>
        <v>0</v>
      </c>
      <c r="G29" s="145" t="s">
        <v>490</v>
      </c>
      <c r="H29" s="146"/>
      <c r="I29" s="83">
        <f>ROUND(SUM(F28:F29)+I28,0)</f>
        <v>0</v>
      </c>
      <c r="J29" s="35"/>
    </row>
    <row r="30" spans="1:9" ht="12.75">
      <c r="A30" s="73"/>
      <c r="B30" s="73"/>
      <c r="C30" s="73"/>
      <c r="D30" s="73"/>
      <c r="E30" s="73"/>
      <c r="F30" s="73"/>
      <c r="G30" s="73"/>
      <c r="H30" s="73"/>
      <c r="I30" s="73"/>
    </row>
    <row r="31" spans="1:10" ht="14.25" customHeight="1">
      <c r="A31" s="147" t="s">
        <v>463</v>
      </c>
      <c r="B31" s="148"/>
      <c r="C31" s="149"/>
      <c r="D31" s="147" t="s">
        <v>476</v>
      </c>
      <c r="E31" s="148"/>
      <c r="F31" s="149"/>
      <c r="G31" s="147" t="s">
        <v>491</v>
      </c>
      <c r="H31" s="148"/>
      <c r="I31" s="149"/>
      <c r="J31" s="36"/>
    </row>
    <row r="32" spans="1:10" ht="14.25" customHeight="1">
      <c r="A32" s="150"/>
      <c r="B32" s="151"/>
      <c r="C32" s="152"/>
      <c r="D32" s="150"/>
      <c r="E32" s="151"/>
      <c r="F32" s="152"/>
      <c r="G32" s="150"/>
      <c r="H32" s="151"/>
      <c r="I32" s="152"/>
      <c r="J32" s="36"/>
    </row>
    <row r="33" spans="1:10" ht="14.25" customHeight="1">
      <c r="A33" s="150"/>
      <c r="B33" s="151"/>
      <c r="C33" s="152"/>
      <c r="D33" s="150"/>
      <c r="E33" s="151"/>
      <c r="F33" s="152"/>
      <c r="G33" s="150"/>
      <c r="H33" s="151"/>
      <c r="I33" s="152"/>
      <c r="J33" s="36"/>
    </row>
    <row r="34" spans="1:10" ht="14.25" customHeight="1">
      <c r="A34" s="150"/>
      <c r="B34" s="151"/>
      <c r="C34" s="152"/>
      <c r="D34" s="150"/>
      <c r="E34" s="151"/>
      <c r="F34" s="152"/>
      <c r="G34" s="150"/>
      <c r="H34" s="151"/>
      <c r="I34" s="152"/>
      <c r="J34" s="36"/>
    </row>
    <row r="35" spans="1:10" ht="14.25" customHeight="1">
      <c r="A35" s="153" t="s">
        <v>464</v>
      </c>
      <c r="B35" s="154"/>
      <c r="C35" s="155"/>
      <c r="D35" s="153" t="s">
        <v>464</v>
      </c>
      <c r="E35" s="154"/>
      <c r="F35" s="155"/>
      <c r="G35" s="153" t="s">
        <v>464</v>
      </c>
      <c r="H35" s="154"/>
      <c r="I35" s="155"/>
      <c r="J35" s="36"/>
    </row>
    <row r="36" spans="1:9" ht="11.25" customHeight="1">
      <c r="A36" s="55" t="s">
        <v>150</v>
      </c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103"/>
      <c r="B37" s="95"/>
      <c r="C37" s="95"/>
      <c r="D37" s="95"/>
      <c r="E37" s="95"/>
      <c r="F37" s="95"/>
      <c r="G37" s="95"/>
      <c r="H37" s="95"/>
      <c r="I37" s="9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kouka</cp:lastModifiedBy>
  <dcterms:modified xsi:type="dcterms:W3CDTF">2018-11-01T14:09:59Z</dcterms:modified>
  <cp:category/>
  <cp:version/>
  <cp:contentType/>
  <cp:contentStatus/>
</cp:coreProperties>
</file>