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41280" windowHeight="13548" activeTab="0"/>
  </bookViews>
  <sheets>
    <sheet name="Krycí list rozpočtu" sheetId="3" r:id="rId1"/>
    <sheet name="VORN" sheetId="4" r:id="rId2"/>
    <sheet name="Stavební rozpočet - součet" sheetId="2" r:id="rId3"/>
    <sheet name="Stavební rozpočet" sheetId="1" r:id="rId4"/>
  </sheets>
  <definedNames>
    <definedName name="vorn_sum">'VORN'!$I$36:$I$36</definedName>
  </definedNames>
  <calcPr calcId="162913"/>
</workbook>
</file>

<file path=xl/sharedStrings.xml><?xml version="1.0" encoding="utf-8"?>
<sst xmlns="http://schemas.openxmlformats.org/spreadsheetml/2006/main" count="722" uniqueCount="344">
  <si>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</si>
  <si>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</si>
  <si>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</si>
  <si>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</si>
  <si>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</si>
  <si>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</si>
  <si>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</si>
  <si>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</si>
  <si>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</si>
  <si>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</si>
  <si>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</si>
  <si>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</si>
  <si>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</si>
  <si>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</si>
  <si>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</si>
  <si>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</si>
  <si>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</si>
  <si>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</si>
  <si>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</si>
  <si>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</si>
  <si>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</si>
  <si>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</si>
  <si>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</si>
  <si>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</si>
  <si>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</si>
  <si>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</si>
  <si>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</si>
  <si>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</si>
  <si>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</si>
  <si>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</si>
  <si>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</si>
  <si>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</si>
  <si>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</si>
  <si>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</si>
  <si>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</si>
  <si>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</si>
  <si>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</si>
  <si>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</si>
  <si>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</si>
  <si>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</si>
  <si>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</si>
  <si>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</si>
  <si>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</si>
  <si>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</si>
  <si>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</si>
  <si>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</si>
  <si>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</si>
  <si>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</si>
  <si>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</si>
  <si>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</si>
  <si>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</si>
  <si>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</si>
  <si>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</si>
  <si>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</si>
  <si>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</si>
  <si>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</si>
  <si>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</si>
  <si>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</si>
  <si>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</si>
  <si>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Poznámka:</t>
  </si>
  <si>
    <t>Kód</t>
  </si>
  <si>
    <t>61</t>
  </si>
  <si>
    <t>612403399R00</t>
  </si>
  <si>
    <t>612453551R00</t>
  </si>
  <si>
    <t>612453651R00</t>
  </si>
  <si>
    <t>90</t>
  </si>
  <si>
    <t>909      R00</t>
  </si>
  <si>
    <t>95</t>
  </si>
  <si>
    <t>952901114R00</t>
  </si>
  <si>
    <t>97</t>
  </si>
  <si>
    <t>974029132R00</t>
  </si>
  <si>
    <t>974029153R00</t>
  </si>
  <si>
    <t>974029164R00</t>
  </si>
  <si>
    <t>974031100R0X</t>
  </si>
  <si>
    <t>971024461R00</t>
  </si>
  <si>
    <t>971024491R00</t>
  </si>
  <si>
    <t>978059511R00</t>
  </si>
  <si>
    <t>99</t>
  </si>
  <si>
    <t>999281111R00</t>
  </si>
  <si>
    <t>S</t>
  </si>
  <si>
    <t>979011211R00</t>
  </si>
  <si>
    <t>979011219R00</t>
  </si>
  <si>
    <t>979082111R00</t>
  </si>
  <si>
    <t>979082121R00</t>
  </si>
  <si>
    <t>979081111R00</t>
  </si>
  <si>
    <t>979081121R00</t>
  </si>
  <si>
    <t>979095312R00</t>
  </si>
  <si>
    <t>979990001R00</t>
  </si>
  <si>
    <t>722</t>
  </si>
  <si>
    <t>722130233R00</t>
  </si>
  <si>
    <t>722130234R00</t>
  </si>
  <si>
    <t>722130236R00</t>
  </si>
  <si>
    <t>722130237R00</t>
  </si>
  <si>
    <t>722181221R0U</t>
  </si>
  <si>
    <t>722181222ROU</t>
  </si>
  <si>
    <t>722181223ROU</t>
  </si>
  <si>
    <t>722181224ROU</t>
  </si>
  <si>
    <t>722290226R00</t>
  </si>
  <si>
    <t>722290229R00</t>
  </si>
  <si>
    <t>722290234R00</t>
  </si>
  <si>
    <t>722172311R00</t>
  </si>
  <si>
    <t>722172313R00</t>
  </si>
  <si>
    <t>722172314R00</t>
  </si>
  <si>
    <t>722172315R00</t>
  </si>
  <si>
    <t>722235654R00</t>
  </si>
  <si>
    <t>722235112R00</t>
  </si>
  <si>
    <t>722235113R00</t>
  </si>
  <si>
    <t>722235114R00</t>
  </si>
  <si>
    <t>722235117R00</t>
  </si>
  <si>
    <t>998722103R00</t>
  </si>
  <si>
    <t>722239102R00</t>
  </si>
  <si>
    <t>722239103R00</t>
  </si>
  <si>
    <t>55162000r</t>
  </si>
  <si>
    <t>55162002r</t>
  </si>
  <si>
    <t>764</t>
  </si>
  <si>
    <t>764593000R0X</t>
  </si>
  <si>
    <t>998764103R00</t>
  </si>
  <si>
    <t>781</t>
  </si>
  <si>
    <t>781230121R00</t>
  </si>
  <si>
    <t>784</t>
  </si>
  <si>
    <t>784195212R00</t>
  </si>
  <si>
    <t>784011222RT2</t>
  </si>
  <si>
    <t>Oprava rozvodů vody - zámek Vyškov</t>
  </si>
  <si>
    <t>a.Rozvody studené vody</t>
  </si>
  <si>
    <t>náměstí Čsl.armády 475/2, Vyškov-Město, 682 01</t>
  </si>
  <si>
    <t>Zkrácený popis / Varianta</t>
  </si>
  <si>
    <t>Rozměry</t>
  </si>
  <si>
    <t>Úprava povrchů vnitřní</t>
  </si>
  <si>
    <t>Hrubá výplň rýh ve stěnách maltou</t>
  </si>
  <si>
    <t>0,5*36,5+0,1*46,5+0,15*3,0+0,175*11,5   </t>
  </si>
  <si>
    <t>Omítka rýh MC šířky do 15 cm,hlazená ocelí</t>
  </si>
  <si>
    <t>0,1*36,5   </t>
  </si>
  <si>
    <t>Omítka rýh MC šířky do 30 cm,hlazená ocelí</t>
  </si>
  <si>
    <t>0,2*46,5+0,25*3,0+0,3*11,5   </t>
  </si>
  <si>
    <t>Hodinové zúčtovací sazby (HZS)</t>
  </si>
  <si>
    <t>Hzs-nezmeritelne stavebni prace</t>
  </si>
  <si>
    <t>stavební práce, které nelze předvídat</t>
  </si>
  <si>
    <t>Hzs-přesun nábytku</t>
  </si>
  <si>
    <t>;předpoklad 2 pracovníci - 3 hod.;   </t>
  </si>
  <si>
    <t>2*3,0   </t>
  </si>
  <si>
    <t>Různé dokončovací konstrukce a práce na pozemních stavbách</t>
  </si>
  <si>
    <t>Vyčištění budov o výšce podlaží nad 4 m</t>
  </si>
  <si>
    <t>Prorážení otvorů a ostatní bourací práce</t>
  </si>
  <si>
    <t>Vysekání rýh ve zdi kamenné 5 x 7 cm</t>
  </si>
  <si>
    <t>drážky ve zdi 50x50mm</t>
  </si>
  <si>
    <t>Vysekání rýh ve zdi kamenné 10 x 10 cm</t>
  </si>
  <si>
    <t>drážka ve zdi 100x100mm</t>
  </si>
  <si>
    <t>Vysekání rýh ve zdi kamenné 15 x 15 cm</t>
  </si>
  <si>
    <t>drážka ve zdi 150x150mm</t>
  </si>
  <si>
    <t>Vysekání rýh ve zdi cihelné 17,5 x 17,5 cm</t>
  </si>
  <si>
    <t>drážka ve zdi 175 x175mm</t>
  </si>
  <si>
    <t>Vybourání otv. zeď kam. pl. 0,25 m2, tl. 60cm, MVC</t>
  </si>
  <si>
    <t>;průrazy 100x100mm;2   </t>
  </si>
  <si>
    <t>Vybourání otv. zeď kam. pl. 0,25 m2, tl.120cm, MVC</t>
  </si>
  <si>
    <t>;průrazy 175x175mm;4   </t>
  </si>
  <si>
    <t>Odsekání vnitřních obkladů stěn do 1 m2</t>
  </si>
  <si>
    <t>;HYGIENICKÉ ZAŘÍZENÍ 2.NP;   </t>
  </si>
  <si>
    <t>(0,5+0,95+2,0+0,5+1,5+1,5+0,5+0,5)*0,3   </t>
  </si>
  <si>
    <t>;HYGIENICKÉ ZAŘÍZENÍ 1.NP A 3.NP;   </t>
  </si>
  <si>
    <t>(1,5+1,0+2,0+1,0+0,5)*0,3   </t>
  </si>
  <si>
    <t>(2,0*3+1,0*3)*0,3   </t>
  </si>
  <si>
    <t>Stavenišťní přesun hmot</t>
  </si>
  <si>
    <t>Přesun hmot pro opravy a údržbu do výšky 25 m</t>
  </si>
  <si>
    <t>Přesuny sutí</t>
  </si>
  <si>
    <t>Svislá doprava suti a vybour. hmot za 2.NP nošením</t>
  </si>
  <si>
    <t>Přípl.k svislé dopr.suti za každé další NP nošením</t>
  </si>
  <si>
    <t>Vnitrostaveništní doprava suti do 10 m</t>
  </si>
  <si>
    <t>Příplatek k vnitrost. dopravě suti za dalších 5 m</t>
  </si>
  <si>
    <t>10*6,459   </t>
  </si>
  <si>
    <t>Odvoz suti a vybour. hmot na skládku do 1 km</t>
  </si>
  <si>
    <t>Příplatek k odvozu za každý další 1 km</t>
  </si>
  <si>
    <t>19*6,459   </t>
  </si>
  <si>
    <t>Naložení a složení suti</t>
  </si>
  <si>
    <t>Poplatek za skládku stavební suti</t>
  </si>
  <si>
    <t>Vnitřní vodovod</t>
  </si>
  <si>
    <t>Potrubí z trub.závit.pozink.svařovan. 11343,DN 25</t>
  </si>
  <si>
    <t>Potrubí z trub.závit.pozink.svařovan. 11343,DN 32</t>
  </si>
  <si>
    <t>Potrubí z trub.závit.pozink.svařovan. 11343,DN 50</t>
  </si>
  <si>
    <t>Potrubí z trub.závit.pozink.svařovan. 11343,DN 65</t>
  </si>
  <si>
    <t>Izolace návleková z PE tl. stěny 10 mm</t>
  </si>
  <si>
    <t>DN 22 mm</t>
  </si>
  <si>
    <t>Izolace návlekováz PE tl. stěny 10 mm</t>
  </si>
  <si>
    <t>DN 42 mm</t>
  </si>
  <si>
    <t>DN 62 mm</t>
  </si>
  <si>
    <t>DN více</t>
  </si>
  <si>
    <t>Zkouška tlaku potrubí závitového DN 50</t>
  </si>
  <si>
    <t>Zkouška tlaku potrubí závitového DN 100</t>
  </si>
  <si>
    <t>Proplach a dezinfekce vodovod.potrubí DN 80</t>
  </si>
  <si>
    <t>Potrubí z PPR, studená, D 20x2,8 mm, vč.zed.výpom.</t>
  </si>
  <si>
    <t>Potrubí z PPR, studená, D 32x4,4 mm, vč.zed.výpom.</t>
  </si>
  <si>
    <t>Potrubí z PPR, studená, D 40x5,5 mm, vč.zed.výpom.</t>
  </si>
  <si>
    <t>Potrubí z PPR, studená, D 50x6,9 mm, vč.zed.výpom.</t>
  </si>
  <si>
    <t>Ventil vod.zpětný  DN 32</t>
  </si>
  <si>
    <t>Kohout vod.kul.,vnitř.-vnitř.z. DN 20</t>
  </si>
  <si>
    <t>Kohout vod.kul.,vnitř.-vnitř. DN 25</t>
  </si>
  <si>
    <t>Kohout vod.kul.,vnitř.-vnitř. DN 32</t>
  </si>
  <si>
    <t>Kohout vod.kul.,vnitř.-vnitř. DN 65</t>
  </si>
  <si>
    <t>Přesun hmot pro vnitřní vodovod, výšky do 24 m</t>
  </si>
  <si>
    <t>Montáž vodovodních armatur 2závity, G 3/4</t>
  </si>
  <si>
    <t>Montáž vodovodních armatur 2závity, G 1</t>
  </si>
  <si>
    <t>Podomítkový ventil DN 25</t>
  </si>
  <si>
    <t>Podomítkový ventil DN 20</t>
  </si>
  <si>
    <t>Konstrukce klempířské</t>
  </si>
  <si>
    <t>Plechový kanálek š.100mm, v.175mm ,rš 450 mm</t>
  </si>
  <si>
    <t>Přesun hmot pro klempířské konstr., výšky do 24 m</t>
  </si>
  <si>
    <t>Obklady (keramické)</t>
  </si>
  <si>
    <t>Obkládání stěn vnitř.keram. do tmele do 300x300 mm</t>
  </si>
  <si>
    <t>ZPĚTNÉ OBLOŽENÍ</t>
  </si>
  <si>
    <t>;ZPĚTNÉ OBLOŽENÍ ZA HYG.ZAŘÍZENÍMI V 1.NP A 3.NP;   </t>
  </si>
  <si>
    <t>Malby</t>
  </si>
  <si>
    <t>Malba bílá, bez penetrace, 2 x</t>
  </si>
  <si>
    <t>;malba celých dotčených stěn;   </t>
  </si>
  <si>
    <t>;vzhledem k uvedeným sv.v.jen v některých místnostech;   </t>
  </si>
  <si>
    <t>;počítána průměrná sv. v. malovaných stěn 4,0m;   </t>
  </si>
  <si>
    <t>;1.NP;   </t>
  </si>
  <si>
    <t>(2*6,8+3,65+3,77+4,64+1,9+2,0+8,0+3,3)*4,0   </t>
  </si>
  <si>
    <t>(2,2+1,0+3,0+8,3+1,28+1,0+2,5+21,0)*4,0   </t>
  </si>
  <si>
    <t>(3,0+21,0+9,9+8,6+1,7+8,1+6,0)*4,0   </t>
  </si>
  <si>
    <t>;2.NP;(7,0+7,4+2*8,9+2,6+5,1)*4,0   </t>
  </si>
  <si>
    <t>;3.NP;(1,2+2,8)*3,0+(3,32+2,0)*4,0   </t>
  </si>
  <si>
    <t>Zakrytí podlah před realizací</t>
  </si>
  <si>
    <t>včetně papírové lepenky</t>
  </si>
  <si>
    <t>;v pruhu 2m před stěnou;   </t>
  </si>
  <si>
    <t>(4,0+3,5+5,0+7,0+21,0+4,0+3,0+8,5)*2,0   </t>
  </si>
  <si>
    <t>(5,5+2,0+7,5+5,0+10,0)*2,0   </t>
  </si>
  <si>
    <t>;2.NP;   </t>
  </si>
  <si>
    <t>(3,0+2,0*3)*2,0   </t>
  </si>
  <si>
    <t>;3.NP;   </t>
  </si>
  <si>
    <t>2,0*2,0*2   </t>
  </si>
  <si>
    <t>Doba výstavby:</t>
  </si>
  <si>
    <t>Začátek výstavby:</t>
  </si>
  <si>
    <t>Konec výstavby:</t>
  </si>
  <si>
    <t>Zpracováno dne:</t>
  </si>
  <si>
    <t>13.11.2018</t>
  </si>
  <si>
    <t>MJ</t>
  </si>
  <si>
    <t>m2</t>
  </si>
  <si>
    <t>h</t>
  </si>
  <si>
    <t>m</t>
  </si>
  <si>
    <t>kus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</si>
  <si>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</si>
  <si>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</si>
  <si>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</si>
  <si>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</si>
  <si>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</si>
  <si>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</si>
  <si>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</si>
  <si>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</si>
  <si>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</si>
  <si>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</si>
  <si>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</si>
  <si>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</si>
  <si>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</si>
  <si>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</si>
  <si>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</si>
  <si>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</si>
  <si>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</si>
  <si>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</si>
  <si>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</si>
  <si>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</si>
  <si>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</si>
  <si>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</si>
  <si>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</si>
  <si>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</si>
  <si>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90_</t>
  </si>
  <si>
    <t>95_</t>
  </si>
  <si>
    <t>97_</t>
  </si>
  <si>
    <t>99_</t>
  </si>
  <si>
    <t>S_</t>
  </si>
  <si>
    <t>722_</t>
  </si>
  <si>
    <t>764_</t>
  </si>
  <si>
    <t>781_</t>
  </si>
  <si>
    <t>784_</t>
  </si>
  <si>
    <t>6_</t>
  </si>
  <si>
    <t>9_</t>
  </si>
  <si>
    <t>72_</t>
  </si>
  <si>
    <t>76_</t>
  </si>
  <si>
    <t>78_</t>
  </si>
  <si>
    <t>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</si>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</sst>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center" wrapText="1"/>
      <protection/>
    </xf>
  </cellStyleXfs>
  <cellXfs count="17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4" fillId="0" borderId="18" xfId="0" applyNumberFormat="1" applyFont="1" applyFill="1" applyBorder="1" applyAlignment="1" applyProtection="1">
      <alignment horizontal="right" vertical="center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49" fontId="5" fillId="4" borderId="31" xfId="0" applyNumberFormat="1" applyFont="1" applyFill="1" applyBorder="1" applyAlignment="1" applyProtection="1">
      <alignment horizontal="left" vertical="center"/>
      <protection/>
    </xf>
    <xf numFmtId="164" fontId="5" fillId="4" borderId="31" xfId="0" applyNumberFormat="1" applyFont="1" applyFill="1" applyBorder="1" applyAlignment="1" applyProtection="1">
      <alignment horizontal="right" vertical="center"/>
      <protection/>
    </xf>
    <xf numFmtId="4" fontId="5" fillId="4" borderId="3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  <protection/>
    </xf>
    <xf numFmtId="164" fontId="5" fillId="4" borderId="0" xfId="0" applyNumberFormat="1" applyFont="1" applyFill="1" applyBorder="1" applyAlignment="1" applyProtection="1">
      <alignment horizontal="right" vertical="center"/>
      <protection/>
    </xf>
    <xf numFmtId="4" fontId="5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20" applyNumberFormat="1" applyFill="1" applyBorder="1" applyAlignment="1" applyProtection="1">
      <alignment/>
      <protection/>
    </xf>
    <xf numFmtId="164" fontId="9" fillId="4" borderId="0" xfId="0" applyNumberFormat="1" applyFont="1" applyFill="1" applyBorder="1" applyAlignment="1" applyProtection="1">
      <alignment horizontal="right" vertical="center"/>
      <protection/>
    </xf>
    <xf numFmtId="0" fontId="1" fillId="4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3" borderId="35" xfId="0" applyNumberFormat="1" applyFont="1" applyFill="1" applyBorder="1" applyAlignment="1" applyProtection="1">
      <alignment horizontal="left" vertical="center"/>
      <protection/>
    </xf>
    <xf numFmtId="0" fontId="13" fillId="3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" fontId="13" fillId="0" borderId="43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horizontal="right" vertical="center"/>
      <protection/>
    </xf>
    <xf numFmtId="0" fontId="13" fillId="0" borderId="44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4" borderId="52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" customHeight="1">
      <c r="A1" s="64"/>
      <c r="B1" s="7"/>
      <c r="C1" s="108" t="s">
        <v>303</v>
      </c>
      <c r="D1" s="109"/>
      <c r="E1" s="109"/>
      <c r="F1" s="109"/>
      <c r="G1" s="109"/>
      <c r="H1" s="109"/>
      <c r="I1" s="109"/>
    </row>
    <row r="2" spans="1:10" ht="12.75">
      <c r="A2" s="110" t="s">
        <v>1</v>
      </c>
      <c r="B2" s="111"/>
      <c r="C2" s="112" t="str">
        <f>'Stavební rozpočet'!C2</f>
        <v>Oprava rozvodů vody - zámek Vyškov</v>
      </c>
      <c r="D2" s="113"/>
      <c r="E2" s="115" t="s">
        <v>241</v>
      </c>
      <c r="F2" s="115" t="str">
        <f>'Stavební rozpočet'!I2</f>
        <v> </v>
      </c>
      <c r="G2" s="111"/>
      <c r="H2" s="115" t="s">
        <v>328</v>
      </c>
      <c r="I2" s="116"/>
      <c r="J2" s="26"/>
    </row>
    <row r="3" spans="1:10" ht="12.75">
      <c r="A3" s="105"/>
      <c r="B3" s="79"/>
      <c r="C3" s="114"/>
      <c r="D3" s="114"/>
      <c r="E3" s="79"/>
      <c r="F3" s="79"/>
      <c r="G3" s="79"/>
      <c r="H3" s="79"/>
      <c r="I3" s="107"/>
      <c r="J3" s="26"/>
    </row>
    <row r="4" spans="1:10" ht="12.75">
      <c r="A4" s="99" t="s">
        <v>2</v>
      </c>
      <c r="B4" s="79"/>
      <c r="C4" s="1" t="str">
        <f>'Stavební rozpočet'!C4</f>
        <v>a.Rozvody studené vody</v>
      </c>
      <c r="D4" s="79"/>
      <c r="E4" s="1" t="s">
        <v>242</v>
      </c>
      <c r="F4" s="1" t="str">
        <f>'Stavební rozpočet'!I4</f>
        <v> </v>
      </c>
      <c r="G4" s="79"/>
      <c r="H4" s="1" t="s">
        <v>328</v>
      </c>
      <c r="I4" s="106"/>
      <c r="J4" s="26"/>
    </row>
    <row r="5" spans="1:10" ht="12.75">
      <c r="A5" s="105"/>
      <c r="B5" s="79"/>
      <c r="C5" s="79"/>
      <c r="D5" s="79"/>
      <c r="E5" s="79"/>
      <c r="F5" s="79"/>
      <c r="G5" s="79"/>
      <c r="H5" s="79"/>
      <c r="I5" s="107"/>
      <c r="J5" s="26"/>
    </row>
    <row r="6" spans="1:10" ht="12.75">
      <c r="A6" s="99" t="s">
        <v>3</v>
      </c>
      <c r="B6" s="79"/>
      <c r="C6" s="1" t="str">
        <f>'Stavební rozpočet'!C6</f>
        <v>náměstí Čsl.armády 475/2, Vyškov-Město, 682 01</v>
      </c>
      <c r="D6" s="79"/>
      <c r="E6" s="1" t="s">
        <v>243</v>
      </c>
      <c r="F6" s="1" t="str">
        <f>'Stavební rozpočet'!I6</f>
        <v> </v>
      </c>
      <c r="G6" s="79"/>
      <c r="H6" s="1" t="s">
        <v>328</v>
      </c>
      <c r="I6" s="106"/>
      <c r="J6" s="26"/>
    </row>
    <row r="7" spans="1:10" ht="12.75">
      <c r="A7" s="105"/>
      <c r="B7" s="79"/>
      <c r="C7" s="79"/>
      <c r="D7" s="79"/>
      <c r="E7" s="79"/>
      <c r="F7" s="79"/>
      <c r="G7" s="79"/>
      <c r="H7" s="79"/>
      <c r="I7" s="107"/>
      <c r="J7" s="26"/>
    </row>
    <row r="8" spans="1:10" ht="12.75">
      <c r="A8" s="99" t="s">
        <v>230</v>
      </c>
      <c r="B8" s="79"/>
      <c r="C8" s="1" t="str">
        <f>'Stavební rozpočet'!F4</f>
        <v xml:space="preserve"> </v>
      </c>
      <c r="D8" s="79"/>
      <c r="E8" s="1" t="s">
        <v>231</v>
      </c>
      <c r="F8" s="1" t="str">
        <f>'Stavební rozpočet'!F6</f>
        <v xml:space="preserve"> </v>
      </c>
      <c r="G8" s="79"/>
      <c r="H8" s="102" t="s">
        <v>329</v>
      </c>
      <c r="I8" s="106" t="s">
        <v>58</v>
      </c>
      <c r="J8" s="26"/>
    </row>
    <row r="9" spans="1:10" ht="12.75">
      <c r="A9" s="105"/>
      <c r="B9" s="79"/>
      <c r="C9" s="79"/>
      <c r="D9" s="79"/>
      <c r="E9" s="79"/>
      <c r="F9" s="79"/>
      <c r="G9" s="79"/>
      <c r="H9" s="79"/>
      <c r="I9" s="107"/>
      <c r="J9" s="26"/>
    </row>
    <row r="10" spans="1:10" ht="12.75">
      <c r="A10" s="99" t="s">
        <v>4</v>
      </c>
      <c r="B10" s="79"/>
      <c r="C10" s="1" t="str">
        <f>'Stavební rozpočet'!C8</f>
        <v xml:space="preserve"> </v>
      </c>
      <c r="D10" s="79"/>
      <c r="E10" s="1" t="s">
        <v>244</v>
      </c>
      <c r="F10" s="1">
        <f>'Stavební rozpočet'!I8</f>
        <v>0</v>
      </c>
      <c r="G10" s="79"/>
      <c r="H10" s="102" t="s">
        <v>330</v>
      </c>
      <c r="I10" s="103" t="str">
        <f>'Stavební rozpočet'!F8</f>
        <v>13.11.2018</v>
      </c>
      <c r="J10" s="26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4"/>
      <c r="J11" s="26"/>
    </row>
    <row r="12" spans="1:9" ht="23.4" customHeight="1">
      <c r="A12" s="95" t="s">
        <v>288</v>
      </c>
      <c r="B12" s="96"/>
      <c r="C12" s="96"/>
      <c r="D12" s="96"/>
      <c r="E12" s="96"/>
      <c r="F12" s="96"/>
      <c r="G12" s="96"/>
      <c r="H12" s="96"/>
      <c r="I12" s="96"/>
    </row>
    <row r="13" spans="1:10" ht="26.4" customHeight="1">
      <c r="A13" s="39" t="s">
        <v>289</v>
      </c>
      <c r="B13" s="97" t="s">
        <v>301</v>
      </c>
      <c r="C13" s="98"/>
      <c r="D13" s="39" t="s">
        <v>304</v>
      </c>
      <c r="E13" s="97" t="s">
        <v>313</v>
      </c>
      <c r="F13" s="98"/>
      <c r="G13" s="39" t="s">
        <v>314</v>
      </c>
      <c r="H13" s="97" t="s">
        <v>331</v>
      </c>
      <c r="I13" s="98"/>
      <c r="J13" s="26"/>
    </row>
    <row r="14" spans="1:10" ht="15.15" customHeight="1">
      <c r="A14" s="40" t="s">
        <v>290</v>
      </c>
      <c r="B14" s="44" t="s">
        <v>302</v>
      </c>
      <c r="C14" s="48">
        <f>SUM('Stavební rozpočet'!AA12:AA117)</f>
        <v>0</v>
      </c>
      <c r="D14" s="93" t="s">
        <v>305</v>
      </c>
      <c r="E14" s="94"/>
      <c r="F14" s="48">
        <f>VORN!I15</f>
        <v>0</v>
      </c>
      <c r="G14" s="93" t="s">
        <v>315</v>
      </c>
      <c r="H14" s="94"/>
      <c r="I14" s="48">
        <f>VORN!I21</f>
        <v>0</v>
      </c>
      <c r="J14" s="26"/>
    </row>
    <row r="15" spans="1:10" ht="15.15" customHeight="1">
      <c r="A15" s="41"/>
      <c r="B15" s="44" t="s">
        <v>251</v>
      </c>
      <c r="C15" s="48">
        <f>SUM('Stavební rozpočet'!AB12:AB117)</f>
        <v>0</v>
      </c>
      <c r="D15" s="93" t="s">
        <v>306</v>
      </c>
      <c r="E15" s="94"/>
      <c r="F15" s="48">
        <f>VORN!I16</f>
        <v>0</v>
      </c>
      <c r="G15" s="93" t="s">
        <v>316</v>
      </c>
      <c r="H15" s="94"/>
      <c r="I15" s="48">
        <f>VORN!I22</f>
        <v>0</v>
      </c>
      <c r="J15" s="26"/>
    </row>
    <row r="16" spans="1:10" ht="15.15" customHeight="1">
      <c r="A16" s="40" t="s">
        <v>291</v>
      </c>
      <c r="B16" s="44" t="s">
        <v>302</v>
      </c>
      <c r="C16" s="48">
        <f>SUM('Stavební rozpočet'!AC12:AC117)</f>
        <v>0</v>
      </c>
      <c r="D16" s="93" t="s">
        <v>307</v>
      </c>
      <c r="E16" s="94"/>
      <c r="F16" s="48">
        <f>VORN!I17</f>
        <v>0</v>
      </c>
      <c r="G16" s="93" t="s">
        <v>317</v>
      </c>
      <c r="H16" s="94"/>
      <c r="I16" s="48">
        <f>VORN!I23</f>
        <v>0</v>
      </c>
      <c r="J16" s="26"/>
    </row>
    <row r="17" spans="1:10" ht="15.15" customHeight="1">
      <c r="A17" s="41"/>
      <c r="B17" s="44" t="s">
        <v>251</v>
      </c>
      <c r="C17" s="48">
        <f>SUM('Stavební rozpočet'!AD12:AD117)</f>
        <v>0</v>
      </c>
      <c r="D17" s="93"/>
      <c r="E17" s="94"/>
      <c r="F17" s="49"/>
      <c r="G17" s="93" t="s">
        <v>318</v>
      </c>
      <c r="H17" s="94"/>
      <c r="I17" s="48">
        <f>VORN!I24</f>
        <v>0</v>
      </c>
      <c r="J17" s="26"/>
    </row>
    <row r="18" spans="1:10" ht="15.15" customHeight="1">
      <c r="A18" s="40" t="s">
        <v>292</v>
      </c>
      <c r="B18" s="44" t="s">
        <v>302</v>
      </c>
      <c r="C18" s="48">
        <f>SUM('Stavební rozpočet'!AE12:AE117)</f>
        <v>0</v>
      </c>
      <c r="D18" s="93"/>
      <c r="E18" s="94"/>
      <c r="F18" s="49"/>
      <c r="G18" s="93" t="s">
        <v>319</v>
      </c>
      <c r="H18" s="94"/>
      <c r="I18" s="48">
        <f>VORN!I25</f>
        <v>0</v>
      </c>
      <c r="J18" s="26"/>
    </row>
    <row r="19" spans="1:10" ht="15.15" customHeight="1">
      <c r="A19" s="41"/>
      <c r="B19" s="44" t="s">
        <v>251</v>
      </c>
      <c r="C19" s="48">
        <f>SUM('Stavební rozpočet'!AF12:AF117)</f>
        <v>0</v>
      </c>
      <c r="D19" s="93"/>
      <c r="E19" s="94"/>
      <c r="F19" s="49"/>
      <c r="G19" s="93" t="s">
        <v>320</v>
      </c>
      <c r="H19" s="94"/>
      <c r="I19" s="48">
        <f>VORN!I26</f>
        <v>0</v>
      </c>
      <c r="J19" s="26"/>
    </row>
    <row r="20" spans="1:10" ht="15.15" customHeight="1">
      <c r="A20" s="91" t="s">
        <v>293</v>
      </c>
      <c r="B20" s="92"/>
      <c r="C20" s="48">
        <f>SUM('Stavební rozpočet'!AG12:AG117)</f>
        <v>0</v>
      </c>
      <c r="D20" s="93"/>
      <c r="E20" s="94"/>
      <c r="F20" s="49"/>
      <c r="G20" s="93"/>
      <c r="H20" s="94"/>
      <c r="I20" s="49"/>
      <c r="J20" s="26"/>
    </row>
    <row r="21" spans="1:10" ht="15.15" customHeight="1">
      <c r="A21" s="91" t="s">
        <v>294</v>
      </c>
      <c r="B21" s="92"/>
      <c r="C21" s="48">
        <f>SUM('Stavební rozpočet'!Y12:Y117)</f>
        <v>0</v>
      </c>
      <c r="D21" s="93"/>
      <c r="E21" s="94"/>
      <c r="F21" s="49"/>
      <c r="G21" s="93"/>
      <c r="H21" s="94"/>
      <c r="I21" s="49"/>
      <c r="J21" s="26"/>
    </row>
    <row r="22" spans="1:10" ht="16.65" customHeight="1">
      <c r="A22" s="91" t="s">
        <v>295</v>
      </c>
      <c r="B22" s="92"/>
      <c r="C22" s="48">
        <f>ROUND(SUM(C14:C21),0)</f>
        <v>0</v>
      </c>
      <c r="D22" s="91" t="s">
        <v>308</v>
      </c>
      <c r="E22" s="92"/>
      <c r="F22" s="48">
        <f>SUM(F14:F21)</f>
        <v>0</v>
      </c>
      <c r="G22" s="91" t="s">
        <v>321</v>
      </c>
      <c r="H22" s="92"/>
      <c r="I22" s="48">
        <f>SUM(I14:I21)</f>
        <v>0</v>
      </c>
      <c r="J22" s="26"/>
    </row>
    <row r="23" spans="1:10" ht="15.15" customHeight="1">
      <c r="A23" s="8"/>
      <c r="B23" s="8"/>
      <c r="C23" s="46"/>
      <c r="D23" s="91" t="s">
        <v>309</v>
      </c>
      <c r="E23" s="92"/>
      <c r="F23" s="50">
        <v>0</v>
      </c>
      <c r="G23" s="91" t="s">
        <v>322</v>
      </c>
      <c r="H23" s="92"/>
      <c r="I23" s="48">
        <v>0</v>
      </c>
      <c r="J23" s="26"/>
    </row>
    <row r="24" spans="4:10" ht="15.15" customHeight="1">
      <c r="D24" s="8"/>
      <c r="E24" s="8"/>
      <c r="F24" s="51"/>
      <c r="G24" s="91" t="s">
        <v>323</v>
      </c>
      <c r="H24" s="92"/>
      <c r="I24" s="48">
        <f>vorn_sum</f>
        <v>0</v>
      </c>
      <c r="J24" s="26"/>
    </row>
    <row r="25" spans="6:10" ht="15.15" customHeight="1">
      <c r="F25" s="52"/>
      <c r="G25" s="91" t="s">
        <v>324</v>
      </c>
      <c r="H25" s="92"/>
      <c r="I25" s="48">
        <v>0</v>
      </c>
      <c r="J25" s="26"/>
    </row>
    <row r="26" spans="1:9" ht="12.75">
      <c r="A26" s="7"/>
      <c r="B26" s="7"/>
      <c r="C26" s="7"/>
      <c r="G26" s="8"/>
      <c r="H26" s="8"/>
      <c r="I26" s="8"/>
    </row>
    <row r="27" spans="1:9" ht="15.15" customHeight="1">
      <c r="A27" s="86" t="s">
        <v>296</v>
      </c>
      <c r="B27" s="87"/>
      <c r="C27" s="53">
        <f>ROUND(SUM('Stavební rozpočet'!AI12:AI117),0)</f>
        <v>0</v>
      </c>
      <c r="D27" s="47"/>
      <c r="E27" s="7"/>
      <c r="F27" s="7"/>
      <c r="G27" s="7"/>
      <c r="H27" s="7"/>
      <c r="I27" s="7"/>
    </row>
    <row r="28" spans="1:10" ht="15.15" customHeight="1">
      <c r="A28" s="86" t="s">
        <v>297</v>
      </c>
      <c r="B28" s="87"/>
      <c r="C28" s="53">
        <f>ROUND(SUM('Stavební rozpočet'!AJ12:AJ117),0)</f>
        <v>0</v>
      </c>
      <c r="D28" s="86" t="s">
        <v>310</v>
      </c>
      <c r="E28" s="87"/>
      <c r="F28" s="53">
        <f>ROUND(C28*(15/100),2)</f>
        <v>0</v>
      </c>
      <c r="G28" s="86" t="s">
        <v>325</v>
      </c>
      <c r="H28" s="87"/>
      <c r="I28" s="53">
        <f>ROUND(SUM(C27:C29),0)</f>
        <v>0</v>
      </c>
      <c r="J28" s="26"/>
    </row>
    <row r="29" spans="1:10" ht="15.15" customHeight="1">
      <c r="A29" s="86" t="s">
        <v>298</v>
      </c>
      <c r="B29" s="87"/>
      <c r="C29" s="53">
        <f>ROUND(SUM('Stavební rozpočet'!AK12:AK117)+(F22+I22+F23+I23+I24+I25),0)</f>
        <v>0</v>
      </c>
      <c r="D29" s="86" t="s">
        <v>311</v>
      </c>
      <c r="E29" s="87"/>
      <c r="F29" s="53">
        <f>ROUND(C29*(21/100),2)</f>
        <v>0</v>
      </c>
      <c r="G29" s="86" t="s">
        <v>326</v>
      </c>
      <c r="H29" s="87"/>
      <c r="I29" s="53">
        <f>ROUND(SUM(F28:F29)+I28,0)</f>
        <v>0</v>
      </c>
      <c r="J29" s="26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4" customHeight="1">
      <c r="A31" s="88" t="s">
        <v>299</v>
      </c>
      <c r="B31" s="89"/>
      <c r="C31" s="90"/>
      <c r="D31" s="88" t="s">
        <v>312</v>
      </c>
      <c r="E31" s="89"/>
      <c r="F31" s="90"/>
      <c r="G31" s="88" t="s">
        <v>327</v>
      </c>
      <c r="H31" s="89"/>
      <c r="I31" s="90"/>
      <c r="J31" s="27"/>
    </row>
    <row r="32" spans="1:10" ht="14.4" customHeight="1">
      <c r="A32" s="80"/>
      <c r="B32" s="81"/>
      <c r="C32" s="82"/>
      <c r="D32" s="80"/>
      <c r="E32" s="81"/>
      <c r="F32" s="82"/>
      <c r="G32" s="80"/>
      <c r="H32" s="81"/>
      <c r="I32" s="82"/>
      <c r="J32" s="27"/>
    </row>
    <row r="33" spans="1:10" ht="14.4" customHeight="1">
      <c r="A33" s="80"/>
      <c r="B33" s="81"/>
      <c r="C33" s="82"/>
      <c r="D33" s="80"/>
      <c r="E33" s="81"/>
      <c r="F33" s="82"/>
      <c r="G33" s="80"/>
      <c r="H33" s="81"/>
      <c r="I33" s="82"/>
      <c r="J33" s="27"/>
    </row>
    <row r="34" spans="1:10" ht="14.4" customHeight="1">
      <c r="A34" s="80"/>
      <c r="B34" s="81"/>
      <c r="C34" s="82"/>
      <c r="D34" s="80"/>
      <c r="E34" s="81"/>
      <c r="F34" s="82"/>
      <c r="G34" s="80"/>
      <c r="H34" s="81"/>
      <c r="I34" s="82"/>
      <c r="J34" s="27"/>
    </row>
    <row r="35" spans="1:10" ht="14.4" customHeight="1">
      <c r="A35" s="83" t="s">
        <v>300</v>
      </c>
      <c r="B35" s="84"/>
      <c r="C35" s="85"/>
      <c r="D35" s="83" t="s">
        <v>300</v>
      </c>
      <c r="E35" s="84"/>
      <c r="F35" s="85"/>
      <c r="G35" s="83" t="s">
        <v>300</v>
      </c>
      <c r="H35" s="84"/>
      <c r="I35" s="85"/>
      <c r="J35" s="27"/>
    </row>
    <row r="36" spans="1:9" ht="11.25" customHeight="1">
      <c r="A36" s="43" t="s">
        <v>59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1"/>
      <c r="B37" s="79"/>
      <c r="C37" s="79"/>
      <c r="D37" s="79"/>
      <c r="E37" s="79"/>
      <c r="F37" s="79"/>
      <c r="G37" s="79"/>
      <c r="H37" s="79"/>
      <c r="I37" s="7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L20" sqref="L2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9" customHeight="1">
      <c r="A1" s="64"/>
      <c r="B1" s="7"/>
      <c r="C1" s="108" t="s">
        <v>340</v>
      </c>
      <c r="D1" s="109"/>
      <c r="E1" s="109"/>
      <c r="F1" s="109"/>
      <c r="G1" s="109"/>
      <c r="H1" s="109"/>
      <c r="I1" s="109"/>
    </row>
    <row r="2" spans="1:10" ht="12.75">
      <c r="A2" s="110" t="s">
        <v>1</v>
      </c>
      <c r="B2" s="111"/>
      <c r="C2" s="112" t="str">
        <f>'Stavební rozpočet'!C2</f>
        <v>Oprava rozvodů vody - zámek Vyškov</v>
      </c>
      <c r="D2" s="113"/>
      <c r="E2" s="115" t="s">
        <v>241</v>
      </c>
      <c r="F2" s="115" t="str">
        <f>'Stavební rozpočet'!I2</f>
        <v> </v>
      </c>
      <c r="G2" s="111"/>
      <c r="H2" s="115" t="s">
        <v>328</v>
      </c>
      <c r="I2" s="116"/>
      <c r="J2" s="26"/>
    </row>
    <row r="3" spans="1:10" ht="12.75">
      <c r="A3" s="105"/>
      <c r="B3" s="79"/>
      <c r="C3" s="114"/>
      <c r="D3" s="114"/>
      <c r="E3" s="79"/>
      <c r="F3" s="79"/>
      <c r="G3" s="79"/>
      <c r="H3" s="79"/>
      <c r="I3" s="107"/>
      <c r="J3" s="26"/>
    </row>
    <row r="4" spans="1:10" ht="12.75">
      <c r="A4" s="99" t="s">
        <v>2</v>
      </c>
      <c r="B4" s="79"/>
      <c r="C4" s="1" t="str">
        <f>'Stavební rozpočet'!C4</f>
        <v>a.Rozvody studené vody</v>
      </c>
      <c r="D4" s="79"/>
      <c r="E4" s="1" t="s">
        <v>242</v>
      </c>
      <c r="F4" s="1" t="str">
        <f>'Stavební rozpočet'!I4</f>
        <v> </v>
      </c>
      <c r="G4" s="79"/>
      <c r="H4" s="1" t="s">
        <v>328</v>
      </c>
      <c r="I4" s="106"/>
      <c r="J4" s="26"/>
    </row>
    <row r="5" spans="1:10" ht="12.75">
      <c r="A5" s="105"/>
      <c r="B5" s="79"/>
      <c r="C5" s="79"/>
      <c r="D5" s="79"/>
      <c r="E5" s="79"/>
      <c r="F5" s="79"/>
      <c r="G5" s="79"/>
      <c r="H5" s="79"/>
      <c r="I5" s="107"/>
      <c r="J5" s="26"/>
    </row>
    <row r="6" spans="1:10" ht="12.75">
      <c r="A6" s="99" t="s">
        <v>3</v>
      </c>
      <c r="B6" s="79"/>
      <c r="C6" s="1" t="str">
        <f>'Stavební rozpočet'!C6</f>
        <v>náměstí Čsl.armády 475/2, Vyškov-Město, 682 01</v>
      </c>
      <c r="D6" s="79"/>
      <c r="E6" s="1" t="s">
        <v>243</v>
      </c>
      <c r="F6" s="1" t="str">
        <f>'Stavební rozpočet'!I6</f>
        <v> </v>
      </c>
      <c r="G6" s="79"/>
      <c r="H6" s="1" t="s">
        <v>328</v>
      </c>
      <c r="I6" s="106"/>
      <c r="J6" s="26"/>
    </row>
    <row r="7" spans="1:10" ht="12.75">
      <c r="A7" s="105"/>
      <c r="B7" s="79"/>
      <c r="C7" s="79"/>
      <c r="D7" s="79"/>
      <c r="E7" s="79"/>
      <c r="F7" s="79"/>
      <c r="G7" s="79"/>
      <c r="H7" s="79"/>
      <c r="I7" s="107"/>
      <c r="J7" s="26"/>
    </row>
    <row r="8" spans="1:10" ht="12.75">
      <c r="A8" s="99" t="s">
        <v>230</v>
      </c>
      <c r="B8" s="79"/>
      <c r="C8" s="1" t="str">
        <f>'Stavební rozpočet'!F4</f>
        <v xml:space="preserve"> </v>
      </c>
      <c r="D8" s="79"/>
      <c r="E8" s="1" t="s">
        <v>231</v>
      </c>
      <c r="F8" s="1" t="str">
        <f>'Stavební rozpočet'!F6</f>
        <v xml:space="preserve"> </v>
      </c>
      <c r="G8" s="79"/>
      <c r="H8" s="102" t="s">
        <v>329</v>
      </c>
      <c r="I8" s="106" t="s">
        <v>58</v>
      </c>
      <c r="J8" s="26"/>
    </row>
    <row r="9" spans="1:10" ht="12.75">
      <c r="A9" s="105"/>
      <c r="B9" s="79"/>
      <c r="C9" s="79"/>
      <c r="D9" s="79"/>
      <c r="E9" s="79"/>
      <c r="F9" s="79"/>
      <c r="G9" s="79"/>
      <c r="H9" s="79"/>
      <c r="I9" s="107"/>
      <c r="J9" s="26"/>
    </row>
    <row r="10" spans="1:10" ht="12.75">
      <c r="A10" s="99" t="s">
        <v>4</v>
      </c>
      <c r="B10" s="79"/>
      <c r="C10" s="1" t="str">
        <f>'Stavební rozpočet'!C8</f>
        <v xml:space="preserve"> </v>
      </c>
      <c r="D10" s="79"/>
      <c r="E10" s="1" t="s">
        <v>244</v>
      </c>
      <c r="F10" s="1">
        <f>'Stavební rozpočet'!I8</f>
        <v>0</v>
      </c>
      <c r="G10" s="79"/>
      <c r="H10" s="102" t="s">
        <v>330</v>
      </c>
      <c r="I10" s="103" t="str">
        <f>'Stavební rozpočet'!F8</f>
        <v>13.11.2018</v>
      </c>
      <c r="J10" s="26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4"/>
      <c r="J11" s="26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.15" customHeight="1">
      <c r="A13" s="129" t="s">
        <v>332</v>
      </c>
      <c r="B13" s="130"/>
      <c r="C13" s="130"/>
      <c r="D13" s="130"/>
      <c r="E13" s="130"/>
      <c r="F13" s="55"/>
      <c r="G13" s="55"/>
      <c r="H13" s="55"/>
      <c r="I13" s="55"/>
    </row>
    <row r="14" spans="1:10" ht="12.75">
      <c r="A14" s="131" t="s">
        <v>333</v>
      </c>
      <c r="B14" s="132"/>
      <c r="C14" s="132"/>
      <c r="D14" s="132"/>
      <c r="E14" s="133"/>
      <c r="F14" s="56" t="s">
        <v>341</v>
      </c>
      <c r="G14" s="56" t="s">
        <v>342</v>
      </c>
      <c r="H14" s="56" t="s">
        <v>343</v>
      </c>
      <c r="I14" s="56" t="s">
        <v>341</v>
      </c>
      <c r="J14" s="27"/>
    </row>
    <row r="15" spans="1:10" ht="12.75">
      <c r="A15" s="134" t="s">
        <v>305</v>
      </c>
      <c r="B15" s="135"/>
      <c r="C15" s="135"/>
      <c r="D15" s="135"/>
      <c r="E15" s="136"/>
      <c r="F15" s="57">
        <v>0</v>
      </c>
      <c r="G15" s="60"/>
      <c r="H15" s="60"/>
      <c r="I15" s="57">
        <f>F15</f>
        <v>0</v>
      </c>
      <c r="J15" s="26"/>
    </row>
    <row r="16" spans="1:10" ht="12.75">
      <c r="A16" s="134" t="s">
        <v>306</v>
      </c>
      <c r="B16" s="135"/>
      <c r="C16" s="135"/>
      <c r="D16" s="135"/>
      <c r="E16" s="136"/>
      <c r="F16" s="57">
        <v>0</v>
      </c>
      <c r="G16" s="60"/>
      <c r="H16" s="60"/>
      <c r="I16" s="57">
        <f>F16</f>
        <v>0</v>
      </c>
      <c r="J16" s="26"/>
    </row>
    <row r="17" spans="1:10" ht="12.75">
      <c r="A17" s="117" t="s">
        <v>307</v>
      </c>
      <c r="B17" s="118"/>
      <c r="C17" s="118"/>
      <c r="D17" s="118"/>
      <c r="E17" s="119"/>
      <c r="F17" s="58">
        <v>0</v>
      </c>
      <c r="G17" s="61"/>
      <c r="H17" s="61"/>
      <c r="I17" s="58">
        <f>F17</f>
        <v>0</v>
      </c>
      <c r="J17" s="26"/>
    </row>
    <row r="18" spans="1:10" ht="12.75">
      <c r="A18" s="120" t="s">
        <v>334</v>
      </c>
      <c r="B18" s="121"/>
      <c r="C18" s="121"/>
      <c r="D18" s="121"/>
      <c r="E18" s="122"/>
      <c r="F18" s="59"/>
      <c r="G18" s="62"/>
      <c r="H18" s="62"/>
      <c r="I18" s="63">
        <f>SUM(I15:I17)</f>
        <v>0</v>
      </c>
      <c r="J18" s="27"/>
    </row>
    <row r="19" spans="1:9" ht="12.75">
      <c r="A19" s="54"/>
      <c r="B19" s="54"/>
      <c r="C19" s="54"/>
      <c r="D19" s="54"/>
      <c r="E19" s="54"/>
      <c r="F19" s="54"/>
      <c r="G19" s="54"/>
      <c r="H19" s="54"/>
      <c r="I19" s="54"/>
    </row>
    <row r="20" spans="1:10" ht="12.75">
      <c r="A20" s="131" t="s">
        <v>331</v>
      </c>
      <c r="B20" s="132"/>
      <c r="C20" s="132"/>
      <c r="D20" s="132"/>
      <c r="E20" s="133"/>
      <c r="F20" s="56" t="s">
        <v>341</v>
      </c>
      <c r="G20" s="56" t="s">
        <v>342</v>
      </c>
      <c r="H20" s="56" t="s">
        <v>343</v>
      </c>
      <c r="I20" s="56" t="s">
        <v>341</v>
      </c>
      <c r="J20" s="27"/>
    </row>
    <row r="21" spans="1:10" ht="12.75">
      <c r="A21" s="134" t="s">
        <v>315</v>
      </c>
      <c r="B21" s="135"/>
      <c r="C21" s="135"/>
      <c r="D21" s="135"/>
      <c r="E21" s="136"/>
      <c r="F21" s="57">
        <v>0</v>
      </c>
      <c r="G21" s="57"/>
      <c r="H21" s="57"/>
      <c r="I21" s="57">
        <f>(G21/100)*H21</f>
        <v>0</v>
      </c>
      <c r="J21" s="26"/>
    </row>
    <row r="22" spans="1:10" ht="12.75">
      <c r="A22" s="134" t="s">
        <v>316</v>
      </c>
      <c r="B22" s="135"/>
      <c r="C22" s="135"/>
      <c r="D22" s="135"/>
      <c r="E22" s="136"/>
      <c r="F22" s="57">
        <v>0</v>
      </c>
      <c r="G22" s="60"/>
      <c r="H22" s="60"/>
      <c r="I22" s="57">
        <f>F22</f>
        <v>0</v>
      </c>
      <c r="J22" s="26"/>
    </row>
    <row r="23" spans="1:10" ht="12.75">
      <c r="A23" s="134" t="s">
        <v>317</v>
      </c>
      <c r="B23" s="135"/>
      <c r="C23" s="135"/>
      <c r="D23" s="135"/>
      <c r="E23" s="136"/>
      <c r="F23" s="57">
        <v>0</v>
      </c>
      <c r="G23" s="60"/>
      <c r="H23" s="60"/>
      <c r="I23" s="57">
        <f>F23</f>
        <v>0</v>
      </c>
      <c r="J23" s="26"/>
    </row>
    <row r="24" spans="1:10" ht="12.75">
      <c r="A24" s="134" t="s">
        <v>318</v>
      </c>
      <c r="B24" s="135"/>
      <c r="C24" s="135"/>
      <c r="D24" s="135"/>
      <c r="E24" s="136"/>
      <c r="F24" s="57">
        <v>0</v>
      </c>
      <c r="G24" s="60"/>
      <c r="H24" s="60"/>
      <c r="I24" s="57">
        <f>F24</f>
        <v>0</v>
      </c>
      <c r="J24" s="26"/>
    </row>
    <row r="25" spans="1:10" ht="12.75">
      <c r="A25" s="134" t="s">
        <v>319</v>
      </c>
      <c r="B25" s="135"/>
      <c r="C25" s="135"/>
      <c r="D25" s="135"/>
      <c r="E25" s="136"/>
      <c r="F25" s="57">
        <v>0</v>
      </c>
      <c r="G25" s="60"/>
      <c r="H25" s="60"/>
      <c r="I25" s="57">
        <f>F25</f>
        <v>0</v>
      </c>
      <c r="J25" s="26"/>
    </row>
    <row r="26" spans="1:10" ht="12.75">
      <c r="A26" s="117" t="s">
        <v>320</v>
      </c>
      <c r="B26" s="118"/>
      <c r="C26" s="118"/>
      <c r="D26" s="118"/>
      <c r="E26" s="119"/>
      <c r="F26" s="58">
        <v>0</v>
      </c>
      <c r="G26" s="61"/>
      <c r="H26" s="61"/>
      <c r="I26" s="58">
        <f>F26</f>
        <v>0</v>
      </c>
      <c r="J26" s="26"/>
    </row>
    <row r="27" spans="1:10" ht="12.75">
      <c r="A27" s="120" t="s">
        <v>335</v>
      </c>
      <c r="B27" s="121"/>
      <c r="C27" s="121"/>
      <c r="D27" s="121"/>
      <c r="E27" s="122"/>
      <c r="F27" s="59"/>
      <c r="G27" s="62"/>
      <c r="H27" s="62"/>
      <c r="I27" s="63">
        <f>SUM(I21:I26)</f>
        <v>0</v>
      </c>
      <c r="J27" s="27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.15" customHeight="1">
      <c r="A29" s="123" t="s">
        <v>336</v>
      </c>
      <c r="B29" s="124"/>
      <c r="C29" s="124"/>
      <c r="D29" s="124"/>
      <c r="E29" s="125"/>
      <c r="F29" s="126">
        <f>I18+I27</f>
        <v>0</v>
      </c>
      <c r="G29" s="127"/>
      <c r="H29" s="127"/>
      <c r="I29" s="128"/>
      <c r="J29" s="27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3" spans="1:9" ht="15.15" customHeight="1">
      <c r="A33" s="129" t="s">
        <v>337</v>
      </c>
      <c r="B33" s="130"/>
      <c r="C33" s="130"/>
      <c r="D33" s="130"/>
      <c r="E33" s="130"/>
      <c r="F33" s="55"/>
      <c r="G33" s="55"/>
      <c r="H33" s="55"/>
      <c r="I33" s="55"/>
    </row>
    <row r="34" spans="1:10" ht="12.75">
      <c r="A34" s="131" t="s">
        <v>338</v>
      </c>
      <c r="B34" s="132"/>
      <c r="C34" s="132"/>
      <c r="D34" s="132"/>
      <c r="E34" s="133"/>
      <c r="F34" s="56" t="s">
        <v>341</v>
      </c>
      <c r="G34" s="56" t="s">
        <v>342</v>
      </c>
      <c r="H34" s="56" t="s">
        <v>343</v>
      </c>
      <c r="I34" s="56" t="s">
        <v>341</v>
      </c>
      <c r="J34" s="27"/>
    </row>
    <row r="35" spans="1:10" ht="12.75">
      <c r="A35" s="117"/>
      <c r="B35" s="118"/>
      <c r="C35" s="118"/>
      <c r="D35" s="118"/>
      <c r="E35" s="119"/>
      <c r="F35" s="58">
        <v>0</v>
      </c>
      <c r="G35" s="61"/>
      <c r="H35" s="61"/>
      <c r="I35" s="58">
        <f>F35</f>
        <v>0</v>
      </c>
      <c r="J35" s="26"/>
    </row>
    <row r="36" spans="1:10" ht="12.75">
      <c r="A36" s="120" t="s">
        <v>339</v>
      </c>
      <c r="B36" s="121"/>
      <c r="C36" s="121"/>
      <c r="D36" s="121"/>
      <c r="E36" s="122"/>
      <c r="F36" s="59"/>
      <c r="G36" s="62"/>
      <c r="H36" s="62"/>
      <c r="I36" s="63">
        <f>SUM(I35:I35)</f>
        <v>0</v>
      </c>
      <c r="J36" s="27"/>
    </row>
    <row r="37" spans="1:9" ht="12.75">
      <c r="A37" s="45"/>
      <c r="B37" s="45"/>
      <c r="C37" s="45"/>
      <c r="D37" s="45"/>
      <c r="E37" s="45"/>
      <c r="F37" s="45"/>
      <c r="G37" s="45"/>
      <c r="H37" s="45"/>
      <c r="I37" s="45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H10:H11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A13:E13"/>
    <mergeCell ref="A14:E14"/>
    <mergeCell ref="A15:E15"/>
    <mergeCell ref="A16:E16"/>
    <mergeCell ref="A17:E17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72.9" customHeight="1">
      <c r="A1" s="144" t="s">
        <v>281</v>
      </c>
      <c r="B1" s="109"/>
      <c r="C1" s="109"/>
      <c r="D1" s="109"/>
      <c r="E1" s="109"/>
      <c r="F1" s="109"/>
      <c r="G1" s="109"/>
    </row>
    <row r="2" spans="1:8" ht="12.75">
      <c r="A2" s="110" t="s">
        <v>1</v>
      </c>
      <c r="B2" s="112" t="str">
        <f>'Stavební rozpočet'!C2</f>
        <v>Oprava rozvodů vody - zámek Vyškov</v>
      </c>
      <c r="C2" s="113"/>
      <c r="D2" s="115" t="s">
        <v>241</v>
      </c>
      <c r="E2" s="115" t="str">
        <f>'Stavební rozpočet'!I2</f>
        <v> </v>
      </c>
      <c r="F2" s="111"/>
      <c r="G2" s="145"/>
      <c r="H2" s="26"/>
    </row>
    <row r="3" spans="1:8" ht="12.75">
      <c r="A3" s="105"/>
      <c r="B3" s="114"/>
      <c r="C3" s="114"/>
      <c r="D3" s="79"/>
      <c r="E3" s="79"/>
      <c r="F3" s="79"/>
      <c r="G3" s="107"/>
      <c r="H3" s="26"/>
    </row>
    <row r="4" spans="1:8" ht="12.75">
      <c r="A4" s="99" t="s">
        <v>2</v>
      </c>
      <c r="B4" s="1" t="str">
        <f>'Stavební rozpočet'!C4</f>
        <v>a.Rozvody studené vody</v>
      </c>
      <c r="C4" s="79"/>
      <c r="D4" s="1" t="s">
        <v>242</v>
      </c>
      <c r="E4" s="1" t="str">
        <f>'Stavební rozpočet'!I4</f>
        <v> </v>
      </c>
      <c r="F4" s="79"/>
      <c r="G4" s="107"/>
      <c r="H4" s="26"/>
    </row>
    <row r="5" spans="1:8" ht="12.75">
      <c r="A5" s="105"/>
      <c r="B5" s="79"/>
      <c r="C5" s="79"/>
      <c r="D5" s="79"/>
      <c r="E5" s="79"/>
      <c r="F5" s="79"/>
      <c r="G5" s="107"/>
      <c r="H5" s="26"/>
    </row>
    <row r="6" spans="1:8" ht="12.75">
      <c r="A6" s="99" t="s">
        <v>3</v>
      </c>
      <c r="B6" s="1" t="str">
        <f>'Stavební rozpočet'!C6</f>
        <v>náměstí Čsl.armády 475/2, Vyškov-Město, 682 01</v>
      </c>
      <c r="C6" s="79"/>
      <c r="D6" s="1" t="s">
        <v>243</v>
      </c>
      <c r="E6" s="1" t="str">
        <f>'Stavební rozpočet'!I6</f>
        <v> </v>
      </c>
      <c r="F6" s="79"/>
      <c r="G6" s="107"/>
      <c r="H6" s="26"/>
    </row>
    <row r="7" spans="1:8" ht="12.75">
      <c r="A7" s="105"/>
      <c r="B7" s="79"/>
      <c r="C7" s="79"/>
      <c r="D7" s="79"/>
      <c r="E7" s="79"/>
      <c r="F7" s="79"/>
      <c r="G7" s="107"/>
      <c r="H7" s="26"/>
    </row>
    <row r="8" spans="1:8" ht="12.75">
      <c r="A8" s="99" t="s">
        <v>244</v>
      </c>
      <c r="B8" s="1">
        <f>'Stavební rozpočet'!I8</f>
        <v>0</v>
      </c>
      <c r="C8" s="79"/>
      <c r="D8" s="102" t="s">
        <v>232</v>
      </c>
      <c r="E8" s="1" t="str">
        <f>'Stavební rozpočet'!F8</f>
        <v>13.11.2018</v>
      </c>
      <c r="F8" s="79"/>
      <c r="G8" s="107"/>
      <c r="H8" s="26"/>
    </row>
    <row r="9" spans="1:8" ht="12.75">
      <c r="A9" s="141"/>
      <c r="B9" s="142"/>
      <c r="C9" s="142"/>
      <c r="D9" s="142"/>
      <c r="E9" s="142"/>
      <c r="F9" s="142"/>
      <c r="G9" s="143"/>
      <c r="H9" s="26"/>
    </row>
    <row r="10" spans="1:8" ht="12.75">
      <c r="A10" s="32" t="s">
        <v>282</v>
      </c>
      <c r="B10" s="34" t="s">
        <v>60</v>
      </c>
      <c r="C10" s="137" t="s">
        <v>283</v>
      </c>
      <c r="D10" s="138"/>
      <c r="E10" s="35" t="s">
        <v>284</v>
      </c>
      <c r="F10" s="35" t="s">
        <v>285</v>
      </c>
      <c r="G10" s="35" t="s">
        <v>286</v>
      </c>
      <c r="H10" s="26"/>
    </row>
    <row r="11" spans="1:9" ht="12.75">
      <c r="A11" s="33"/>
      <c r="B11" s="33" t="s">
        <v>61</v>
      </c>
      <c r="C11" s="139" t="s">
        <v>127</v>
      </c>
      <c r="D11" s="140"/>
      <c r="E11" s="37">
        <f>'Stavební rozpočet'!I12</f>
        <v>0</v>
      </c>
      <c r="F11" s="37">
        <f>'Stavební rozpočet'!J12</f>
        <v>0</v>
      </c>
      <c r="G11" s="37">
        <f>'Stavební rozpočet'!K12</f>
        <v>0</v>
      </c>
      <c r="H11" s="28" t="s">
        <v>287</v>
      </c>
      <c r="I11" s="28">
        <f aca="true" t="shared" si="0" ref="I11:I20">IF(H11="F",0,G11)</f>
        <v>0</v>
      </c>
    </row>
    <row r="12" spans="1:9" ht="12.75">
      <c r="A12" s="14"/>
      <c r="B12" s="14" t="s">
        <v>65</v>
      </c>
      <c r="C12" s="102" t="s">
        <v>134</v>
      </c>
      <c r="D12" s="79"/>
      <c r="E12" s="28">
        <f>'Stavební rozpočet'!I19</f>
        <v>0</v>
      </c>
      <c r="F12" s="28">
        <f>'Stavební rozpočet'!J19</f>
        <v>0</v>
      </c>
      <c r="G12" s="28">
        <f>'Stavební rozpočet'!K19</f>
        <v>0</v>
      </c>
      <c r="H12" s="28" t="s">
        <v>287</v>
      </c>
      <c r="I12" s="28">
        <f t="shared" si="0"/>
        <v>0</v>
      </c>
    </row>
    <row r="13" spans="1:9" ht="12.75">
      <c r="A13" s="14"/>
      <c r="B13" s="14" t="s">
        <v>67</v>
      </c>
      <c r="C13" s="102" t="s">
        <v>140</v>
      </c>
      <c r="D13" s="79"/>
      <c r="E13" s="28">
        <f>'Stavební rozpočet'!I25</f>
        <v>0</v>
      </c>
      <c r="F13" s="28">
        <f>'Stavební rozpočet'!J25</f>
        <v>0</v>
      </c>
      <c r="G13" s="28">
        <f>'Stavební rozpočet'!K25</f>
        <v>0</v>
      </c>
      <c r="H13" s="28" t="s">
        <v>287</v>
      </c>
      <c r="I13" s="28">
        <f t="shared" si="0"/>
        <v>0</v>
      </c>
    </row>
    <row r="14" spans="1:9" ht="12.75">
      <c r="A14" s="14"/>
      <c r="B14" s="14" t="s">
        <v>69</v>
      </c>
      <c r="C14" s="102" t="s">
        <v>142</v>
      </c>
      <c r="D14" s="79"/>
      <c r="E14" s="28">
        <f>'Stavební rozpočet'!I27</f>
        <v>0</v>
      </c>
      <c r="F14" s="28">
        <f>'Stavební rozpočet'!J27</f>
        <v>0</v>
      </c>
      <c r="G14" s="28">
        <f>'Stavební rozpočet'!K27</f>
        <v>0</v>
      </c>
      <c r="H14" s="28" t="s">
        <v>287</v>
      </c>
      <c r="I14" s="28">
        <f t="shared" si="0"/>
        <v>0</v>
      </c>
    </row>
    <row r="15" spans="1:9" ht="12.75">
      <c r="A15" s="14"/>
      <c r="B15" s="14" t="s">
        <v>77</v>
      </c>
      <c r="C15" s="102" t="s">
        <v>161</v>
      </c>
      <c r="D15" s="79"/>
      <c r="E15" s="28">
        <f>'Stavební rozpočet'!I46</f>
        <v>0</v>
      </c>
      <c r="F15" s="28">
        <f>'Stavební rozpočet'!J46</f>
        <v>0</v>
      </c>
      <c r="G15" s="28">
        <f>'Stavební rozpočet'!K46</f>
        <v>0</v>
      </c>
      <c r="H15" s="28" t="s">
        <v>287</v>
      </c>
      <c r="I15" s="28">
        <f t="shared" si="0"/>
        <v>0</v>
      </c>
    </row>
    <row r="16" spans="1:9" ht="12.75">
      <c r="A16" s="14"/>
      <c r="B16" s="14" t="s">
        <v>79</v>
      </c>
      <c r="C16" s="102" t="s">
        <v>163</v>
      </c>
      <c r="D16" s="79"/>
      <c r="E16" s="28">
        <f>'Stavební rozpočet'!I48</f>
        <v>0</v>
      </c>
      <c r="F16" s="28">
        <f>'Stavební rozpočet'!J48</f>
        <v>0</v>
      </c>
      <c r="G16" s="28">
        <f>'Stavební rozpočet'!K48</f>
        <v>0</v>
      </c>
      <c r="H16" s="28" t="s">
        <v>287</v>
      </c>
      <c r="I16" s="28">
        <f t="shared" si="0"/>
        <v>0</v>
      </c>
    </row>
    <row r="17" spans="1:9" ht="12.75">
      <c r="A17" s="14"/>
      <c r="B17" s="14" t="s">
        <v>88</v>
      </c>
      <c r="C17" s="102" t="s">
        <v>174</v>
      </c>
      <c r="D17" s="79"/>
      <c r="E17" s="28">
        <f>'Stavební rozpočet'!I59</f>
        <v>0</v>
      </c>
      <c r="F17" s="28">
        <f>'Stavební rozpočet'!J59</f>
        <v>0</v>
      </c>
      <c r="G17" s="28">
        <f>'Stavební rozpočet'!K59</f>
        <v>0</v>
      </c>
      <c r="H17" s="28" t="s">
        <v>287</v>
      </c>
      <c r="I17" s="28">
        <f t="shared" si="0"/>
        <v>0</v>
      </c>
    </row>
    <row r="18" spans="1:9" ht="12.75">
      <c r="A18" s="14"/>
      <c r="B18" s="14" t="s">
        <v>114</v>
      </c>
      <c r="C18" s="102" t="s">
        <v>202</v>
      </c>
      <c r="D18" s="79"/>
      <c r="E18" s="28">
        <f>'Stavební rozpočet'!I89</f>
        <v>0</v>
      </c>
      <c r="F18" s="28">
        <f>'Stavební rozpočet'!J89</f>
        <v>0</v>
      </c>
      <c r="G18" s="28">
        <f>'Stavební rozpočet'!K89</f>
        <v>0</v>
      </c>
      <c r="H18" s="28" t="s">
        <v>287</v>
      </c>
      <c r="I18" s="28">
        <f t="shared" si="0"/>
        <v>0</v>
      </c>
    </row>
    <row r="19" spans="1:9" ht="12.75">
      <c r="A19" s="14"/>
      <c r="B19" s="14" t="s">
        <v>117</v>
      </c>
      <c r="C19" s="102" t="s">
        <v>205</v>
      </c>
      <c r="D19" s="79"/>
      <c r="E19" s="28">
        <f>'Stavební rozpočet'!I92</f>
        <v>0</v>
      </c>
      <c r="F19" s="28">
        <f>'Stavební rozpočet'!J92</f>
        <v>0</v>
      </c>
      <c r="G19" s="28">
        <f>'Stavební rozpočet'!K92</f>
        <v>0</v>
      </c>
      <c r="H19" s="28" t="s">
        <v>287</v>
      </c>
      <c r="I19" s="28">
        <f t="shared" si="0"/>
        <v>0</v>
      </c>
    </row>
    <row r="20" spans="1:9" ht="12.75">
      <c r="A20" s="14"/>
      <c r="B20" s="14" t="s">
        <v>119</v>
      </c>
      <c r="C20" s="102" t="s">
        <v>209</v>
      </c>
      <c r="D20" s="79"/>
      <c r="E20" s="28">
        <f>'Stavební rozpočet'!I97</f>
        <v>0</v>
      </c>
      <c r="F20" s="28">
        <f>'Stavební rozpočet'!J97</f>
        <v>0</v>
      </c>
      <c r="G20" s="28">
        <f>'Stavební rozpočet'!K97</f>
        <v>0</v>
      </c>
      <c r="H20" s="28" t="s">
        <v>287</v>
      </c>
      <c r="I20" s="28">
        <f t="shared" si="0"/>
        <v>0</v>
      </c>
    </row>
    <row r="22" spans="6:7" ht="12.75">
      <c r="F22" s="36" t="s">
        <v>250</v>
      </c>
      <c r="G22" s="38">
        <f>ROUND(SUM(I11:I20),0)</f>
        <v>0</v>
      </c>
    </row>
  </sheetData>
  <mergeCells count="28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</mergeCells>
  <printOptions/>
  <pageMargins left="0.394" right="0.394" top="0.591" bottom="0.591" header="0.5" footer="0.5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20"/>
  <sheetViews>
    <sheetView workbookViewId="0" topLeftCell="A1">
      <pane ySplit="11" topLeftCell="A12" activePane="bottomLeft" state="frozen"/>
      <selection pane="bottomLeft" activeCell="N96" sqref="N96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1.71093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24" max="61" width="12.140625" style="0" hidden="1" customWidth="1"/>
  </cols>
  <sheetData>
    <row r="1" spans="1:11" ht="72.9" customHeight="1">
      <c r="A1" s="144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12.75">
      <c r="A2" s="110" t="s">
        <v>1</v>
      </c>
      <c r="B2" s="111"/>
      <c r="C2" s="112" t="s">
        <v>122</v>
      </c>
      <c r="D2" s="172" t="s">
        <v>229</v>
      </c>
      <c r="E2" s="111"/>
      <c r="F2" s="172" t="s">
        <v>6</v>
      </c>
      <c r="G2" s="111"/>
      <c r="H2" s="115" t="s">
        <v>241</v>
      </c>
      <c r="I2" s="172" t="s">
        <v>247</v>
      </c>
      <c r="J2" s="111"/>
      <c r="K2" s="111"/>
      <c r="L2" s="26"/>
    </row>
    <row r="3" spans="1:12" ht="12.75">
      <c r="A3" s="105"/>
      <c r="B3" s="79"/>
      <c r="C3" s="114"/>
      <c r="D3" s="79"/>
      <c r="E3" s="79"/>
      <c r="F3" s="79"/>
      <c r="G3" s="79"/>
      <c r="H3" s="79"/>
      <c r="I3" s="79"/>
      <c r="J3" s="79"/>
      <c r="K3" s="79"/>
      <c r="L3" s="26"/>
    </row>
    <row r="4" spans="1:12" ht="12.75">
      <c r="A4" s="99" t="s">
        <v>2</v>
      </c>
      <c r="B4" s="79"/>
      <c r="C4" s="1" t="s">
        <v>123</v>
      </c>
      <c r="D4" s="102" t="s">
        <v>230</v>
      </c>
      <c r="E4" s="79"/>
      <c r="F4" s="102" t="s">
        <v>6</v>
      </c>
      <c r="G4" s="79"/>
      <c r="H4" s="1" t="s">
        <v>242</v>
      </c>
      <c r="I4" s="102" t="s">
        <v>247</v>
      </c>
      <c r="J4" s="79"/>
      <c r="K4" s="79"/>
      <c r="L4" s="26"/>
    </row>
    <row r="5" spans="1:12" ht="12.75">
      <c r="A5" s="105"/>
      <c r="B5" s="79"/>
      <c r="C5" s="79"/>
      <c r="D5" s="79"/>
      <c r="E5" s="79"/>
      <c r="F5" s="79"/>
      <c r="G5" s="79"/>
      <c r="H5" s="79"/>
      <c r="I5" s="79"/>
      <c r="J5" s="79"/>
      <c r="K5" s="79"/>
      <c r="L5" s="26"/>
    </row>
    <row r="6" spans="1:12" ht="12.75">
      <c r="A6" s="99" t="s">
        <v>3</v>
      </c>
      <c r="B6" s="79"/>
      <c r="C6" s="1" t="s">
        <v>124</v>
      </c>
      <c r="D6" s="102" t="s">
        <v>231</v>
      </c>
      <c r="E6" s="79"/>
      <c r="F6" s="102" t="s">
        <v>6</v>
      </c>
      <c r="G6" s="79"/>
      <c r="H6" s="1" t="s">
        <v>243</v>
      </c>
      <c r="I6" s="102" t="s">
        <v>247</v>
      </c>
      <c r="J6" s="79"/>
      <c r="K6" s="79"/>
      <c r="L6" s="26"/>
    </row>
    <row r="7" spans="1:12" ht="12.75">
      <c r="A7" s="105"/>
      <c r="B7" s="79"/>
      <c r="C7" s="79"/>
      <c r="D7" s="79"/>
      <c r="E7" s="79"/>
      <c r="F7" s="79"/>
      <c r="G7" s="79"/>
      <c r="H7" s="79"/>
      <c r="I7" s="79"/>
      <c r="J7" s="79"/>
      <c r="K7" s="79"/>
      <c r="L7" s="26"/>
    </row>
    <row r="8" spans="1:12" ht="12.75">
      <c r="A8" s="99" t="s">
        <v>4</v>
      </c>
      <c r="B8" s="79"/>
      <c r="C8" s="1" t="s">
        <v>6</v>
      </c>
      <c r="D8" s="102" t="s">
        <v>232</v>
      </c>
      <c r="E8" s="79"/>
      <c r="F8" s="102" t="s">
        <v>233</v>
      </c>
      <c r="G8" s="79"/>
      <c r="H8" s="1" t="s">
        <v>244</v>
      </c>
      <c r="I8" s="1"/>
      <c r="J8" s="79"/>
      <c r="K8" s="79"/>
      <c r="L8" s="26"/>
    </row>
    <row r="9" spans="1:12" ht="12.7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26"/>
    </row>
    <row r="10" spans="1:12" ht="12.75">
      <c r="A10" s="1" t="s">
        <v>5</v>
      </c>
      <c r="B10" s="10" t="s">
        <v>60</v>
      </c>
      <c r="C10" s="161" t="s">
        <v>125</v>
      </c>
      <c r="D10" s="162"/>
      <c r="E10" s="163"/>
      <c r="F10" s="10" t="s">
        <v>234</v>
      </c>
      <c r="G10" s="15" t="s">
        <v>240</v>
      </c>
      <c r="H10" s="18" t="s">
        <v>245</v>
      </c>
      <c r="I10" s="164" t="s">
        <v>248</v>
      </c>
      <c r="J10" s="165"/>
      <c r="K10" s="166"/>
      <c r="L10" s="27"/>
    </row>
    <row r="11" spans="1:61" ht="12.75">
      <c r="A11" s="2" t="s">
        <v>6</v>
      </c>
      <c r="B11" s="11" t="s">
        <v>6</v>
      </c>
      <c r="C11" s="167" t="s">
        <v>126</v>
      </c>
      <c r="D11" s="168"/>
      <c r="E11" s="169"/>
      <c r="F11" s="11" t="s">
        <v>6</v>
      </c>
      <c r="G11" s="11" t="s">
        <v>6</v>
      </c>
      <c r="H11" s="19" t="s">
        <v>246</v>
      </c>
      <c r="I11" s="20" t="s">
        <v>249</v>
      </c>
      <c r="J11" s="21" t="s">
        <v>251</v>
      </c>
      <c r="K11" s="22" t="s">
        <v>252</v>
      </c>
      <c r="L11" s="27"/>
      <c r="Y11" s="24" t="s">
        <v>253</v>
      </c>
      <c r="Z11" s="24" t="s">
        <v>254</v>
      </c>
      <c r="AA11" s="24" t="s">
        <v>255</v>
      </c>
      <c r="AB11" s="24" t="s">
        <v>256</v>
      </c>
      <c r="AC11" s="24" t="s">
        <v>257</v>
      </c>
      <c r="AD11" s="24" t="s">
        <v>258</v>
      </c>
      <c r="AE11" s="24" t="s">
        <v>259</v>
      </c>
      <c r="AF11" s="24" t="s">
        <v>260</v>
      </c>
      <c r="AG11" s="24" t="s">
        <v>261</v>
      </c>
      <c r="BG11" s="24" t="s">
        <v>278</v>
      </c>
      <c r="BH11" s="24" t="s">
        <v>279</v>
      </c>
      <c r="BI11" s="24" t="s">
        <v>280</v>
      </c>
    </row>
    <row r="12" spans="1:46" ht="12.75">
      <c r="A12" s="3"/>
      <c r="B12" s="12" t="s">
        <v>61</v>
      </c>
      <c r="C12" s="170" t="s">
        <v>127</v>
      </c>
      <c r="D12" s="171"/>
      <c r="E12" s="171"/>
      <c r="F12" s="3" t="s">
        <v>6</v>
      </c>
      <c r="G12" s="3" t="s">
        <v>6</v>
      </c>
      <c r="H12" s="3" t="s">
        <v>6</v>
      </c>
      <c r="I12" s="30">
        <f>SUM(I13:I17)</f>
        <v>0</v>
      </c>
      <c r="J12" s="30">
        <f>SUM(J13:J17)</f>
        <v>0</v>
      </c>
      <c r="K12" s="30">
        <f>SUM(K13:K17)</f>
        <v>0</v>
      </c>
      <c r="AH12" s="24"/>
      <c r="AR12" s="31">
        <f>SUM(AI13:AI17)</f>
        <v>0</v>
      </c>
      <c r="AS12" s="31">
        <f>SUM(AJ13:AJ17)</f>
        <v>0</v>
      </c>
      <c r="AT12" s="31">
        <f>SUM(AK13:AK17)</f>
        <v>0</v>
      </c>
    </row>
    <row r="13" spans="1:61" ht="12.75">
      <c r="A13" s="4" t="s">
        <v>7</v>
      </c>
      <c r="B13" s="4" t="s">
        <v>62</v>
      </c>
      <c r="C13" s="153" t="s">
        <v>128</v>
      </c>
      <c r="D13" s="150"/>
      <c r="E13" s="150"/>
      <c r="F13" s="4" t="s">
        <v>235</v>
      </c>
      <c r="G13" s="65">
        <v>25.363</v>
      </c>
      <c r="H13" s="16">
        <v>0</v>
      </c>
      <c r="I13" s="16">
        <f>G13*AN13</f>
        <v>0</v>
      </c>
      <c r="J13" s="16">
        <f>G13*AO13</f>
        <v>0</v>
      </c>
      <c r="K13" s="16">
        <f>G13*H13</f>
        <v>0</v>
      </c>
      <c r="Y13" s="28">
        <f>IF(AP13="5",BI13,0)</f>
        <v>0</v>
      </c>
      <c r="AA13" s="28">
        <f>IF(AP13="1",BG13,0)</f>
        <v>0</v>
      </c>
      <c r="AB13" s="28">
        <f>IF(AP13="1",BH13,0)</f>
        <v>0</v>
      </c>
      <c r="AC13" s="28">
        <f>IF(AP13="7",BG13,0)</f>
        <v>0</v>
      </c>
      <c r="AD13" s="28">
        <f>IF(AP13="7",BH13,0)</f>
        <v>0</v>
      </c>
      <c r="AE13" s="28">
        <f>IF(AP13="2",BG13,0)</f>
        <v>0</v>
      </c>
      <c r="AF13" s="28">
        <f>IF(AP13="2",BH13,0)</f>
        <v>0</v>
      </c>
      <c r="AG13" s="28">
        <f>IF(AP13="0",BI13,0)</f>
        <v>0</v>
      </c>
      <c r="AH13" s="24"/>
      <c r="AI13" s="16">
        <f>IF(AM13=0,K13,0)</f>
        <v>0</v>
      </c>
      <c r="AJ13" s="16">
        <f>IF(AM13=15,K13,0)</f>
        <v>0</v>
      </c>
      <c r="AK13" s="16">
        <f>IF(AM13=21,K13,0)</f>
        <v>0</v>
      </c>
      <c r="AM13" s="28">
        <v>21</v>
      </c>
      <c r="AN13" s="28">
        <f>H13*0.275619627858779</f>
        <v>0</v>
      </c>
      <c r="AO13" s="28">
        <f>H13*(1-0.275619627858779)</f>
        <v>0</v>
      </c>
      <c r="AP13" s="23" t="s">
        <v>7</v>
      </c>
      <c r="AU13" s="28">
        <f>AV13+AW13</f>
        <v>0</v>
      </c>
      <c r="AV13" s="28">
        <f>G13*AN13</f>
        <v>0</v>
      </c>
      <c r="AW13" s="28">
        <f>G13*AO13</f>
        <v>0</v>
      </c>
      <c r="AX13" s="29" t="s">
        <v>262</v>
      </c>
      <c r="AY13" s="29" t="s">
        <v>272</v>
      </c>
      <c r="AZ13" s="24" t="s">
        <v>277</v>
      </c>
      <c r="BB13" s="28">
        <f>AV13+AW13</f>
        <v>0</v>
      </c>
      <c r="BC13" s="28">
        <f>H13/(100-BD13)*100</f>
        <v>0</v>
      </c>
      <c r="BD13" s="28">
        <v>0</v>
      </c>
      <c r="BE13" s="28">
        <f>13</f>
        <v>13</v>
      </c>
      <c r="BG13" s="16">
        <f>G13*AN13</f>
        <v>0</v>
      </c>
      <c r="BH13" s="16">
        <f>G13*AO13</f>
        <v>0</v>
      </c>
      <c r="BI13" s="16">
        <f>G13*H13</f>
        <v>0</v>
      </c>
    </row>
    <row r="14" spans="3:7" ht="12.75">
      <c r="C14" s="154" t="s">
        <v>129</v>
      </c>
      <c r="D14" s="147"/>
      <c r="E14" s="147"/>
      <c r="G14" s="66">
        <v>25.363</v>
      </c>
    </row>
    <row r="15" spans="1:61" ht="12.75">
      <c r="A15" s="4" t="s">
        <v>8</v>
      </c>
      <c r="B15" s="4" t="s">
        <v>63</v>
      </c>
      <c r="C15" s="153" t="s">
        <v>130</v>
      </c>
      <c r="D15" s="150"/>
      <c r="E15" s="150"/>
      <c r="F15" s="4" t="s">
        <v>235</v>
      </c>
      <c r="G15" s="65">
        <v>3.65</v>
      </c>
      <c r="H15" s="16">
        <v>0</v>
      </c>
      <c r="I15" s="16">
        <f>G15*AN15</f>
        <v>0</v>
      </c>
      <c r="J15" s="16">
        <f>G15*AO15</f>
        <v>0</v>
      </c>
      <c r="K15" s="16">
        <f>G15*H15</f>
        <v>0</v>
      </c>
      <c r="Y15" s="28">
        <f>IF(AP15="5",BI15,0)</f>
        <v>0</v>
      </c>
      <c r="AA15" s="28">
        <f>IF(AP15="1",BG15,0)</f>
        <v>0</v>
      </c>
      <c r="AB15" s="28">
        <f>IF(AP15="1",BH15,0)</f>
        <v>0</v>
      </c>
      <c r="AC15" s="28">
        <f>IF(AP15="7",BG15,0)</f>
        <v>0</v>
      </c>
      <c r="AD15" s="28">
        <f>IF(AP15="7",BH15,0)</f>
        <v>0</v>
      </c>
      <c r="AE15" s="28">
        <f>IF(AP15="2",BG15,0)</f>
        <v>0</v>
      </c>
      <c r="AF15" s="28">
        <f>IF(AP15="2",BH15,0)</f>
        <v>0</v>
      </c>
      <c r="AG15" s="28">
        <f>IF(AP15="0",BI15,0)</f>
        <v>0</v>
      </c>
      <c r="AH15" s="24"/>
      <c r="AI15" s="16">
        <f>IF(AM15=0,K15,0)</f>
        <v>0</v>
      </c>
      <c r="AJ15" s="16">
        <f>IF(AM15=15,K15,0)</f>
        <v>0</v>
      </c>
      <c r="AK15" s="16">
        <f>IF(AM15=21,K15,0)</f>
        <v>0</v>
      </c>
      <c r="AM15" s="28">
        <v>21</v>
      </c>
      <c r="AN15" s="28">
        <f>H15*0.181901463112327</f>
        <v>0</v>
      </c>
      <c r="AO15" s="28">
        <f>H15*(1-0.181901463112327)</f>
        <v>0</v>
      </c>
      <c r="AP15" s="23" t="s">
        <v>7</v>
      </c>
      <c r="AU15" s="28">
        <f>AV15+AW15</f>
        <v>0</v>
      </c>
      <c r="AV15" s="28">
        <f>G15*AN15</f>
        <v>0</v>
      </c>
      <c r="AW15" s="28">
        <f>G15*AO15</f>
        <v>0</v>
      </c>
      <c r="AX15" s="29" t="s">
        <v>262</v>
      </c>
      <c r="AY15" s="29" t="s">
        <v>272</v>
      </c>
      <c r="AZ15" s="24" t="s">
        <v>277</v>
      </c>
      <c r="BB15" s="28">
        <f>AV15+AW15</f>
        <v>0</v>
      </c>
      <c r="BC15" s="28">
        <f>H15/(100-BD15)*100</f>
        <v>0</v>
      </c>
      <c r="BD15" s="28">
        <v>0</v>
      </c>
      <c r="BE15" s="28">
        <f>15</f>
        <v>15</v>
      </c>
      <c r="BG15" s="16">
        <f>G15*AN15</f>
        <v>0</v>
      </c>
      <c r="BH15" s="16">
        <f>G15*AO15</f>
        <v>0</v>
      </c>
      <c r="BI15" s="16">
        <f>G15*H15</f>
        <v>0</v>
      </c>
    </row>
    <row r="16" spans="3:7" ht="12.75">
      <c r="C16" s="154" t="s">
        <v>131</v>
      </c>
      <c r="D16" s="147"/>
      <c r="E16" s="147"/>
      <c r="G16" s="66">
        <v>3.65</v>
      </c>
    </row>
    <row r="17" spans="1:61" ht="12.75">
      <c r="A17" s="4" t="s">
        <v>9</v>
      </c>
      <c r="B17" s="4" t="s">
        <v>64</v>
      </c>
      <c r="C17" s="153" t="s">
        <v>132</v>
      </c>
      <c r="D17" s="150"/>
      <c r="E17" s="150"/>
      <c r="F17" s="4" t="s">
        <v>235</v>
      </c>
      <c r="G17" s="65">
        <v>13.5</v>
      </c>
      <c r="H17" s="16">
        <v>0</v>
      </c>
      <c r="I17" s="16">
        <f>G17*AN17</f>
        <v>0</v>
      </c>
      <c r="J17" s="16">
        <f>G17*AO17</f>
        <v>0</v>
      </c>
      <c r="K17" s="16">
        <f>G17*H17</f>
        <v>0</v>
      </c>
      <c r="Y17" s="28">
        <f>IF(AP17="5",BI17,0)</f>
        <v>0</v>
      </c>
      <c r="AA17" s="28">
        <f>IF(AP17="1",BG17,0)</f>
        <v>0</v>
      </c>
      <c r="AB17" s="28">
        <f>IF(AP17="1",BH17,0)</f>
        <v>0</v>
      </c>
      <c r="AC17" s="28">
        <f>IF(AP17="7",BG17,0)</f>
        <v>0</v>
      </c>
      <c r="AD17" s="28">
        <f>IF(AP17="7",BH17,0)</f>
        <v>0</v>
      </c>
      <c r="AE17" s="28">
        <f>IF(AP17="2",BG17,0)</f>
        <v>0</v>
      </c>
      <c r="AF17" s="28">
        <f>IF(AP17="2",BH17,0)</f>
        <v>0</v>
      </c>
      <c r="AG17" s="28">
        <f>IF(AP17="0",BI17,0)</f>
        <v>0</v>
      </c>
      <c r="AH17" s="24"/>
      <c r="AI17" s="16">
        <f>IF(AM17=0,K17,0)</f>
        <v>0</v>
      </c>
      <c r="AJ17" s="16">
        <f>IF(AM17=15,K17,0)</f>
        <v>0</v>
      </c>
      <c r="AK17" s="16">
        <f>IF(AM17=21,K17,0)</f>
        <v>0</v>
      </c>
      <c r="AM17" s="28">
        <v>21</v>
      </c>
      <c r="AN17" s="28">
        <f>H17*0.151464080748965</f>
        <v>0</v>
      </c>
      <c r="AO17" s="28">
        <f>H17*(1-0.151464080748965)</f>
        <v>0</v>
      </c>
      <c r="AP17" s="23" t="s">
        <v>7</v>
      </c>
      <c r="AU17" s="28">
        <f>AV17+AW17</f>
        <v>0</v>
      </c>
      <c r="AV17" s="28">
        <f>G17*AN17</f>
        <v>0</v>
      </c>
      <c r="AW17" s="28">
        <f>G17*AO17</f>
        <v>0</v>
      </c>
      <c r="AX17" s="29" t="s">
        <v>262</v>
      </c>
      <c r="AY17" s="29" t="s">
        <v>272</v>
      </c>
      <c r="AZ17" s="24" t="s">
        <v>277</v>
      </c>
      <c r="BB17" s="28">
        <f>AV17+AW17</f>
        <v>0</v>
      </c>
      <c r="BC17" s="28">
        <f>H17/(100-BD17)*100</f>
        <v>0</v>
      </c>
      <c r="BD17" s="28">
        <v>0</v>
      </c>
      <c r="BE17" s="28">
        <f>17</f>
        <v>17</v>
      </c>
      <c r="BG17" s="16">
        <f>G17*AN17</f>
        <v>0</v>
      </c>
      <c r="BH17" s="16">
        <f>G17*AO17</f>
        <v>0</v>
      </c>
      <c r="BI17" s="16">
        <f>G17*H17</f>
        <v>0</v>
      </c>
    </row>
    <row r="18" spans="3:7" ht="12.75">
      <c r="C18" s="154" t="s">
        <v>133</v>
      </c>
      <c r="D18" s="147"/>
      <c r="E18" s="147"/>
      <c r="G18" s="66">
        <v>13.5</v>
      </c>
    </row>
    <row r="19" spans="1:46" ht="12.75">
      <c r="A19" s="5"/>
      <c r="B19" s="13" t="s">
        <v>65</v>
      </c>
      <c r="C19" s="155" t="s">
        <v>134</v>
      </c>
      <c r="D19" s="156"/>
      <c r="E19" s="156"/>
      <c r="F19" s="5" t="s">
        <v>6</v>
      </c>
      <c r="G19" s="5" t="s">
        <v>6</v>
      </c>
      <c r="H19" s="5" t="s">
        <v>6</v>
      </c>
      <c r="I19" s="31">
        <f>SUM(I20:I22)</f>
        <v>0</v>
      </c>
      <c r="J19" s="31">
        <f>SUM(J20:J22)</f>
        <v>0</v>
      </c>
      <c r="K19" s="31">
        <f>SUM(K20:K22)</f>
        <v>0</v>
      </c>
      <c r="AH19" s="24"/>
      <c r="AR19" s="31">
        <f>SUM(AI20:AI22)</f>
        <v>0</v>
      </c>
      <c r="AS19" s="31">
        <f>SUM(AJ20:AJ22)</f>
        <v>0</v>
      </c>
      <c r="AT19" s="31">
        <f>SUM(AK20:AK22)</f>
        <v>0</v>
      </c>
    </row>
    <row r="20" spans="1:61" ht="12.75">
      <c r="A20" s="4" t="s">
        <v>10</v>
      </c>
      <c r="B20" s="4" t="s">
        <v>66</v>
      </c>
      <c r="C20" s="153" t="s">
        <v>135</v>
      </c>
      <c r="D20" s="150"/>
      <c r="E20" s="150"/>
      <c r="F20" s="4" t="s">
        <v>236</v>
      </c>
      <c r="G20" s="65">
        <v>10</v>
      </c>
      <c r="H20" s="16">
        <v>0</v>
      </c>
      <c r="I20" s="16">
        <f>G20*AN20</f>
        <v>0</v>
      </c>
      <c r="J20" s="16">
        <f>G20*AO20</f>
        <v>0</v>
      </c>
      <c r="K20" s="16">
        <f>G20*H20</f>
        <v>0</v>
      </c>
      <c r="Y20" s="28">
        <f>IF(AP20="5",BI20,0)</f>
        <v>0</v>
      </c>
      <c r="AA20" s="28">
        <f>IF(AP20="1",BG20,0)</f>
        <v>0</v>
      </c>
      <c r="AB20" s="28">
        <f>IF(AP20="1",BH20,0)</f>
        <v>0</v>
      </c>
      <c r="AC20" s="28">
        <f>IF(AP20="7",BG20,0)</f>
        <v>0</v>
      </c>
      <c r="AD20" s="28">
        <f>IF(AP20="7",BH20,0)</f>
        <v>0</v>
      </c>
      <c r="AE20" s="28">
        <f>IF(AP20="2",BG20,0)</f>
        <v>0</v>
      </c>
      <c r="AF20" s="28">
        <f>IF(AP20="2",BH20,0)</f>
        <v>0</v>
      </c>
      <c r="AG20" s="28">
        <f>IF(AP20="0",BI20,0)</f>
        <v>0</v>
      </c>
      <c r="AH20" s="24"/>
      <c r="AI20" s="16">
        <f>IF(AM20=0,K20,0)</f>
        <v>0</v>
      </c>
      <c r="AJ20" s="16">
        <f>IF(AM20=15,K20,0)</f>
        <v>0</v>
      </c>
      <c r="AK20" s="16">
        <f>IF(AM20=21,K20,0)</f>
        <v>0</v>
      </c>
      <c r="AM20" s="28">
        <v>21</v>
      </c>
      <c r="AN20" s="28">
        <f>H20*0</f>
        <v>0</v>
      </c>
      <c r="AO20" s="28">
        <f>H20*(1-0)</f>
        <v>0</v>
      </c>
      <c r="AP20" s="23" t="s">
        <v>7</v>
      </c>
      <c r="AU20" s="28">
        <f>AV20+AW20</f>
        <v>0</v>
      </c>
      <c r="AV20" s="28">
        <f>G20*AN20</f>
        <v>0</v>
      </c>
      <c r="AW20" s="28">
        <f>G20*AO20</f>
        <v>0</v>
      </c>
      <c r="AX20" s="29" t="s">
        <v>263</v>
      </c>
      <c r="AY20" s="29" t="s">
        <v>273</v>
      </c>
      <c r="AZ20" s="24" t="s">
        <v>277</v>
      </c>
      <c r="BB20" s="28">
        <f>AV20+AW20</f>
        <v>0</v>
      </c>
      <c r="BC20" s="28">
        <f>H20/(100-BD20)*100</f>
        <v>0</v>
      </c>
      <c r="BD20" s="28">
        <v>0</v>
      </c>
      <c r="BE20" s="28">
        <f>20</f>
        <v>20</v>
      </c>
      <c r="BG20" s="16">
        <f>G20*AN20</f>
        <v>0</v>
      </c>
      <c r="BH20" s="16">
        <f>G20*AO20</f>
        <v>0</v>
      </c>
      <c r="BI20" s="16">
        <f>G20*H20</f>
        <v>0</v>
      </c>
    </row>
    <row r="21" spans="3:5" ht="12.75">
      <c r="C21" s="151" t="s">
        <v>136</v>
      </c>
      <c r="D21" s="152"/>
      <c r="E21" s="152"/>
    </row>
    <row r="22" spans="1:61" ht="12.75">
      <c r="A22" s="4" t="s">
        <v>11</v>
      </c>
      <c r="B22" s="4" t="s">
        <v>66</v>
      </c>
      <c r="C22" s="153" t="s">
        <v>137</v>
      </c>
      <c r="D22" s="150"/>
      <c r="E22" s="150"/>
      <c r="F22" s="4" t="s">
        <v>236</v>
      </c>
      <c r="G22" s="65">
        <v>6</v>
      </c>
      <c r="H22" s="16">
        <v>0</v>
      </c>
      <c r="I22" s="16">
        <f>G22*AN22</f>
        <v>0</v>
      </c>
      <c r="J22" s="16">
        <f>G22*AO22</f>
        <v>0</v>
      </c>
      <c r="K22" s="16">
        <f>G22*H22</f>
        <v>0</v>
      </c>
      <c r="Y22" s="28">
        <f>IF(AP22="5",BI22,0)</f>
        <v>0</v>
      </c>
      <c r="AA22" s="28">
        <f>IF(AP22="1",BG22,0)</f>
        <v>0</v>
      </c>
      <c r="AB22" s="28">
        <f>IF(AP22="1",BH22,0)</f>
        <v>0</v>
      </c>
      <c r="AC22" s="28">
        <f>IF(AP22="7",BG22,0)</f>
        <v>0</v>
      </c>
      <c r="AD22" s="28">
        <f>IF(AP22="7",BH22,0)</f>
        <v>0</v>
      </c>
      <c r="AE22" s="28">
        <f>IF(AP22="2",BG22,0)</f>
        <v>0</v>
      </c>
      <c r="AF22" s="28">
        <f>IF(AP22="2",BH22,0)</f>
        <v>0</v>
      </c>
      <c r="AG22" s="28">
        <f>IF(AP22="0",BI22,0)</f>
        <v>0</v>
      </c>
      <c r="AH22" s="24"/>
      <c r="AI22" s="16">
        <f>IF(AM22=0,K22,0)</f>
        <v>0</v>
      </c>
      <c r="AJ22" s="16">
        <f>IF(AM22=15,K22,0)</f>
        <v>0</v>
      </c>
      <c r="AK22" s="16">
        <f>IF(AM22=21,K22,0)</f>
        <v>0</v>
      </c>
      <c r="AM22" s="28">
        <v>21</v>
      </c>
      <c r="AN22" s="28">
        <f>H22*0</f>
        <v>0</v>
      </c>
      <c r="AO22" s="28">
        <f>H22*(1-0)</f>
        <v>0</v>
      </c>
      <c r="AP22" s="23" t="s">
        <v>7</v>
      </c>
      <c r="AU22" s="28">
        <f>AV22+AW22</f>
        <v>0</v>
      </c>
      <c r="AV22" s="28">
        <f>G22*AN22</f>
        <v>0</v>
      </c>
      <c r="AW22" s="28">
        <f>G22*AO22</f>
        <v>0</v>
      </c>
      <c r="AX22" s="29" t="s">
        <v>263</v>
      </c>
      <c r="AY22" s="29" t="s">
        <v>273</v>
      </c>
      <c r="AZ22" s="24" t="s">
        <v>277</v>
      </c>
      <c r="BB22" s="28">
        <f>AV22+AW22</f>
        <v>0</v>
      </c>
      <c r="BC22" s="28">
        <f>H22/(100-BD22)*100</f>
        <v>0</v>
      </c>
      <c r="BD22" s="28">
        <v>0</v>
      </c>
      <c r="BE22" s="28">
        <f>22</f>
        <v>22</v>
      </c>
      <c r="BG22" s="16">
        <f>G22*AN22</f>
        <v>0</v>
      </c>
      <c r="BH22" s="16">
        <f>G22*AO22</f>
        <v>0</v>
      </c>
      <c r="BI22" s="16">
        <f>G22*H22</f>
        <v>0</v>
      </c>
    </row>
    <row r="23" spans="3:7" ht="12.75">
      <c r="C23" s="154" t="s">
        <v>138</v>
      </c>
      <c r="D23" s="147"/>
      <c r="E23" s="147"/>
      <c r="G23" s="66">
        <v>0</v>
      </c>
    </row>
    <row r="24" spans="3:7" ht="12.75">
      <c r="C24" s="154" t="s">
        <v>139</v>
      </c>
      <c r="D24" s="147"/>
      <c r="E24" s="147"/>
      <c r="G24" s="66">
        <v>6</v>
      </c>
    </row>
    <row r="25" spans="1:46" ht="12.75">
      <c r="A25" s="5"/>
      <c r="B25" s="13" t="s">
        <v>67</v>
      </c>
      <c r="C25" s="155" t="s">
        <v>140</v>
      </c>
      <c r="D25" s="156"/>
      <c r="E25" s="156"/>
      <c r="F25" s="5" t="s">
        <v>6</v>
      </c>
      <c r="G25" s="5" t="s">
        <v>6</v>
      </c>
      <c r="H25" s="5" t="s">
        <v>6</v>
      </c>
      <c r="I25" s="31">
        <f>SUM(I26:I26)</f>
        <v>0</v>
      </c>
      <c r="J25" s="31">
        <f>SUM(J26:J26)</f>
        <v>0</v>
      </c>
      <c r="K25" s="31">
        <f>SUM(K26:K26)</f>
        <v>0</v>
      </c>
      <c r="AH25" s="24"/>
      <c r="AR25" s="31">
        <f>SUM(AI26:AI26)</f>
        <v>0</v>
      </c>
      <c r="AS25" s="31">
        <f>SUM(AJ26:AJ26)</f>
        <v>0</v>
      </c>
      <c r="AT25" s="31">
        <f>SUM(AK26:AK26)</f>
        <v>0</v>
      </c>
    </row>
    <row r="26" spans="1:61" ht="12.75">
      <c r="A26" s="68" t="s">
        <v>12</v>
      </c>
      <c r="B26" s="68" t="s">
        <v>68</v>
      </c>
      <c r="C26" s="159" t="s">
        <v>141</v>
      </c>
      <c r="D26" s="150"/>
      <c r="E26" s="160"/>
      <c r="F26" s="68" t="s">
        <v>235</v>
      </c>
      <c r="G26" s="69">
        <v>198</v>
      </c>
      <c r="H26" s="70">
        <v>0</v>
      </c>
      <c r="I26" s="70">
        <f>G26*AN26</f>
        <v>0</v>
      </c>
      <c r="J26" s="70">
        <f>G26*AO26</f>
        <v>0</v>
      </c>
      <c r="K26" s="70">
        <f>G26*H26</f>
        <v>0</v>
      </c>
      <c r="Y26" s="28">
        <f>IF(AP26="5",BI26,0)</f>
        <v>0</v>
      </c>
      <c r="AA26" s="28">
        <f>IF(AP26="1",BG26,0)</f>
        <v>0</v>
      </c>
      <c r="AB26" s="28">
        <f>IF(AP26="1",BH26,0)</f>
        <v>0</v>
      </c>
      <c r="AC26" s="28">
        <f>IF(AP26="7",BG26,0)</f>
        <v>0</v>
      </c>
      <c r="AD26" s="28">
        <f>IF(AP26="7",BH26,0)</f>
        <v>0</v>
      </c>
      <c r="AE26" s="28">
        <f>IF(AP26="2",BG26,0)</f>
        <v>0</v>
      </c>
      <c r="AF26" s="28">
        <f>IF(AP26="2",BH26,0)</f>
        <v>0</v>
      </c>
      <c r="AG26" s="28">
        <f>IF(AP26="0",BI26,0)</f>
        <v>0</v>
      </c>
      <c r="AH26" s="24"/>
      <c r="AI26" s="16">
        <f>IF(AM26=0,K26,0)</f>
        <v>0</v>
      </c>
      <c r="AJ26" s="16">
        <f>IF(AM26=15,K26,0)</f>
        <v>0</v>
      </c>
      <c r="AK26" s="16">
        <f>IF(AM26=21,K26,0)</f>
        <v>0</v>
      </c>
      <c r="AM26" s="28">
        <v>21</v>
      </c>
      <c r="AN26" s="28">
        <f>H26*0.0126097921558396</f>
        <v>0</v>
      </c>
      <c r="AO26" s="28">
        <f>H26*(1-0.0126097921558396)</f>
        <v>0</v>
      </c>
      <c r="AP26" s="23" t="s">
        <v>7</v>
      </c>
      <c r="AU26" s="28">
        <f>AV26+AW26</f>
        <v>0</v>
      </c>
      <c r="AV26" s="28">
        <f>G26*AN26</f>
        <v>0</v>
      </c>
      <c r="AW26" s="28">
        <f>G26*AO26</f>
        <v>0</v>
      </c>
      <c r="AX26" s="29" t="s">
        <v>264</v>
      </c>
      <c r="AY26" s="29" t="s">
        <v>273</v>
      </c>
      <c r="AZ26" s="24" t="s">
        <v>277</v>
      </c>
      <c r="BB26" s="28">
        <f>AV26+AW26</f>
        <v>0</v>
      </c>
      <c r="BC26" s="28">
        <f>H26/(100-BD26)*100</f>
        <v>0</v>
      </c>
      <c r="BD26" s="28">
        <v>0</v>
      </c>
      <c r="BE26" s="28">
        <f>26</f>
        <v>26</v>
      </c>
      <c r="BG26" s="16">
        <f>G26*AN26</f>
        <v>0</v>
      </c>
      <c r="BH26" s="16">
        <f>G26*AO26</f>
        <v>0</v>
      </c>
      <c r="BI26" s="16">
        <f>G26*H26</f>
        <v>0</v>
      </c>
    </row>
    <row r="27" spans="1:46" ht="12.75">
      <c r="A27" s="5"/>
      <c r="B27" s="13" t="s">
        <v>69</v>
      </c>
      <c r="C27" s="155" t="s">
        <v>142</v>
      </c>
      <c r="D27" s="156"/>
      <c r="E27" s="156"/>
      <c r="F27" s="5" t="s">
        <v>6</v>
      </c>
      <c r="G27" s="5" t="s">
        <v>6</v>
      </c>
      <c r="H27" s="5" t="s">
        <v>6</v>
      </c>
      <c r="I27" s="31">
        <f>SUM(I28:I40)</f>
        <v>0</v>
      </c>
      <c r="J27" s="31">
        <f>SUM(J28:J40)</f>
        <v>0</v>
      </c>
      <c r="K27" s="31">
        <f>SUM(K28:K40)</f>
        <v>0</v>
      </c>
      <c r="AH27" s="24"/>
      <c r="AR27" s="31">
        <f>SUM(AI28:AI40)</f>
        <v>0</v>
      </c>
      <c r="AS27" s="31">
        <f>SUM(AJ28:AJ40)</f>
        <v>0</v>
      </c>
      <c r="AT27" s="31">
        <f>SUM(AK28:AK40)</f>
        <v>0</v>
      </c>
    </row>
    <row r="28" spans="1:61" ht="12.75">
      <c r="A28" s="4" t="s">
        <v>13</v>
      </c>
      <c r="B28" s="4" t="s">
        <v>70</v>
      </c>
      <c r="C28" s="153" t="s">
        <v>143</v>
      </c>
      <c r="D28" s="150"/>
      <c r="E28" s="150"/>
      <c r="F28" s="4" t="s">
        <v>237</v>
      </c>
      <c r="G28" s="65">
        <v>36.5</v>
      </c>
      <c r="H28" s="16">
        <v>0</v>
      </c>
      <c r="I28" s="16">
        <f>G28*AN28</f>
        <v>0</v>
      </c>
      <c r="J28" s="16">
        <f>G28*AO28</f>
        <v>0</v>
      </c>
      <c r="K28" s="16">
        <f>G28*H28</f>
        <v>0</v>
      </c>
      <c r="Y28" s="28">
        <f>IF(AP28="5",BI28,0)</f>
        <v>0</v>
      </c>
      <c r="AA28" s="28">
        <f>IF(AP28="1",BG28,0)</f>
        <v>0</v>
      </c>
      <c r="AB28" s="28">
        <f>IF(AP28="1",BH28,0)</f>
        <v>0</v>
      </c>
      <c r="AC28" s="28">
        <f>IF(AP28="7",BG28,0)</f>
        <v>0</v>
      </c>
      <c r="AD28" s="28">
        <f>IF(AP28="7",BH28,0)</f>
        <v>0</v>
      </c>
      <c r="AE28" s="28">
        <f>IF(AP28="2",BG28,0)</f>
        <v>0</v>
      </c>
      <c r="AF28" s="28">
        <f>IF(AP28="2",BH28,0)</f>
        <v>0</v>
      </c>
      <c r="AG28" s="28">
        <f>IF(AP28="0",BI28,0)</f>
        <v>0</v>
      </c>
      <c r="AH28" s="24"/>
      <c r="AI28" s="16">
        <f>IF(AM28=0,K28,0)</f>
        <v>0</v>
      </c>
      <c r="AJ28" s="16">
        <f>IF(AM28=15,K28,0)</f>
        <v>0</v>
      </c>
      <c r="AK28" s="16">
        <f>IF(AM28=21,K28,0)</f>
        <v>0</v>
      </c>
      <c r="AM28" s="28">
        <v>21</v>
      </c>
      <c r="AN28" s="28">
        <f>H28*0.0614173228346457</f>
        <v>0</v>
      </c>
      <c r="AO28" s="28">
        <f>H28*(1-0.0614173228346457)</f>
        <v>0</v>
      </c>
      <c r="AP28" s="23" t="s">
        <v>7</v>
      </c>
      <c r="AU28" s="28">
        <f>AV28+AW28</f>
        <v>0</v>
      </c>
      <c r="AV28" s="28">
        <f>G28*AN28</f>
        <v>0</v>
      </c>
      <c r="AW28" s="28">
        <f>G28*AO28</f>
        <v>0</v>
      </c>
      <c r="AX28" s="29" t="s">
        <v>265</v>
      </c>
      <c r="AY28" s="29" t="s">
        <v>273</v>
      </c>
      <c r="AZ28" s="24" t="s">
        <v>277</v>
      </c>
      <c r="BB28" s="28">
        <f>AV28+AW28</f>
        <v>0</v>
      </c>
      <c r="BC28" s="28">
        <f>H28/(100-BD28)*100</f>
        <v>0</v>
      </c>
      <c r="BD28" s="28">
        <v>0</v>
      </c>
      <c r="BE28" s="28">
        <f>28</f>
        <v>28</v>
      </c>
      <c r="BG28" s="16">
        <f>G28*AN28</f>
        <v>0</v>
      </c>
      <c r="BH28" s="16">
        <f>G28*AO28</f>
        <v>0</v>
      </c>
      <c r="BI28" s="16">
        <f>G28*H28</f>
        <v>0</v>
      </c>
    </row>
    <row r="29" spans="3:5" ht="12.75">
      <c r="C29" s="151" t="s">
        <v>144</v>
      </c>
      <c r="D29" s="152"/>
      <c r="E29" s="152"/>
    </row>
    <row r="30" spans="1:61" ht="12.75">
      <c r="A30" s="4" t="s">
        <v>14</v>
      </c>
      <c r="B30" s="4" t="s">
        <v>71</v>
      </c>
      <c r="C30" s="153" t="s">
        <v>145</v>
      </c>
      <c r="D30" s="150"/>
      <c r="E30" s="150"/>
      <c r="F30" s="4" t="s">
        <v>237</v>
      </c>
      <c r="G30" s="65">
        <v>46.5</v>
      </c>
      <c r="H30" s="16">
        <v>0</v>
      </c>
      <c r="I30" s="16">
        <f>G30*AN30</f>
        <v>0</v>
      </c>
      <c r="J30" s="16">
        <f>G30*AO30</f>
        <v>0</v>
      </c>
      <c r="K30" s="16">
        <f>G30*H30</f>
        <v>0</v>
      </c>
      <c r="Y30" s="28">
        <f>IF(AP30="5",BI30,0)</f>
        <v>0</v>
      </c>
      <c r="AA30" s="28">
        <f>IF(AP30="1",BG30,0)</f>
        <v>0</v>
      </c>
      <c r="AB30" s="28">
        <f>IF(AP30="1",BH30,0)</f>
        <v>0</v>
      </c>
      <c r="AC30" s="28">
        <f>IF(AP30="7",BG30,0)</f>
        <v>0</v>
      </c>
      <c r="AD30" s="28">
        <f>IF(AP30="7",BH30,0)</f>
        <v>0</v>
      </c>
      <c r="AE30" s="28">
        <f>IF(AP30="2",BG30,0)</f>
        <v>0</v>
      </c>
      <c r="AF30" s="28">
        <f>IF(AP30="2",BH30,0)</f>
        <v>0</v>
      </c>
      <c r="AG30" s="28">
        <f>IF(AP30="0",BI30,0)</f>
        <v>0</v>
      </c>
      <c r="AH30" s="24"/>
      <c r="AI30" s="16">
        <f>IF(AM30=0,K30,0)</f>
        <v>0</v>
      </c>
      <c r="AJ30" s="16">
        <f>IF(AM30=15,K30,0)</f>
        <v>0</v>
      </c>
      <c r="AK30" s="16">
        <f>IF(AM30=21,K30,0)</f>
        <v>0</v>
      </c>
      <c r="AM30" s="28">
        <v>21</v>
      </c>
      <c r="AN30" s="28">
        <f>H30*0.041563055062167</f>
        <v>0</v>
      </c>
      <c r="AO30" s="28">
        <f>H30*(1-0.041563055062167)</f>
        <v>0</v>
      </c>
      <c r="AP30" s="23" t="s">
        <v>7</v>
      </c>
      <c r="AU30" s="28">
        <f>AV30+AW30</f>
        <v>0</v>
      </c>
      <c r="AV30" s="28">
        <f>G30*AN30</f>
        <v>0</v>
      </c>
      <c r="AW30" s="28">
        <f>G30*AO30</f>
        <v>0</v>
      </c>
      <c r="AX30" s="29" t="s">
        <v>265</v>
      </c>
      <c r="AY30" s="29" t="s">
        <v>273</v>
      </c>
      <c r="AZ30" s="24" t="s">
        <v>277</v>
      </c>
      <c r="BB30" s="28">
        <f>AV30+AW30</f>
        <v>0</v>
      </c>
      <c r="BC30" s="28">
        <f>H30/(100-BD30)*100</f>
        <v>0</v>
      </c>
      <c r="BD30" s="28">
        <v>0</v>
      </c>
      <c r="BE30" s="28">
        <f>30</f>
        <v>30</v>
      </c>
      <c r="BG30" s="16">
        <f>G30*AN30</f>
        <v>0</v>
      </c>
      <c r="BH30" s="16">
        <f>G30*AO30</f>
        <v>0</v>
      </c>
      <c r="BI30" s="16">
        <f>G30*H30</f>
        <v>0</v>
      </c>
    </row>
    <row r="31" spans="3:5" ht="12.75">
      <c r="C31" s="151" t="s">
        <v>146</v>
      </c>
      <c r="D31" s="152"/>
      <c r="E31" s="152"/>
    </row>
    <row r="32" spans="1:61" ht="12.75">
      <c r="A32" s="4" t="s">
        <v>15</v>
      </c>
      <c r="B32" s="4" t="s">
        <v>72</v>
      </c>
      <c r="C32" s="153" t="s">
        <v>147</v>
      </c>
      <c r="D32" s="150"/>
      <c r="E32" s="150"/>
      <c r="F32" s="4" t="s">
        <v>237</v>
      </c>
      <c r="G32" s="65">
        <v>3</v>
      </c>
      <c r="H32" s="16">
        <v>0</v>
      </c>
      <c r="I32" s="16">
        <f>G32*AN32</f>
        <v>0</v>
      </c>
      <c r="J32" s="16">
        <f>G32*AO32</f>
        <v>0</v>
      </c>
      <c r="K32" s="16">
        <f>G32*H32</f>
        <v>0</v>
      </c>
      <c r="Y32" s="28">
        <f>IF(AP32="5",BI32,0)</f>
        <v>0</v>
      </c>
      <c r="AA32" s="28">
        <f>IF(AP32="1",BG32,0)</f>
        <v>0</v>
      </c>
      <c r="AB32" s="28">
        <f>IF(AP32="1",BH32,0)</f>
        <v>0</v>
      </c>
      <c r="AC32" s="28">
        <f>IF(AP32="7",BG32,0)</f>
        <v>0</v>
      </c>
      <c r="AD32" s="28">
        <f>IF(AP32="7",BH32,0)</f>
        <v>0</v>
      </c>
      <c r="AE32" s="28">
        <f>IF(AP32="2",BG32,0)</f>
        <v>0</v>
      </c>
      <c r="AF32" s="28">
        <f>IF(AP32="2",BH32,0)</f>
        <v>0</v>
      </c>
      <c r="AG32" s="28">
        <f>IF(AP32="0",BI32,0)</f>
        <v>0</v>
      </c>
      <c r="AH32" s="24"/>
      <c r="AI32" s="16">
        <f>IF(AM32=0,K32,0)</f>
        <v>0</v>
      </c>
      <c r="AJ32" s="16">
        <f>IF(AM32=15,K32,0)</f>
        <v>0</v>
      </c>
      <c r="AK32" s="16">
        <f>IF(AM32=21,K32,0)</f>
        <v>0</v>
      </c>
      <c r="AM32" s="28">
        <v>21</v>
      </c>
      <c r="AN32" s="28">
        <f>H32*0.0292507312682817</f>
        <v>0</v>
      </c>
      <c r="AO32" s="28">
        <f>H32*(1-0.0292507312682817)</f>
        <v>0</v>
      </c>
      <c r="AP32" s="23" t="s">
        <v>7</v>
      </c>
      <c r="AU32" s="28">
        <f>AV32+AW32</f>
        <v>0</v>
      </c>
      <c r="AV32" s="28">
        <f>G32*AN32</f>
        <v>0</v>
      </c>
      <c r="AW32" s="28">
        <f>G32*AO32</f>
        <v>0</v>
      </c>
      <c r="AX32" s="29" t="s">
        <v>265</v>
      </c>
      <c r="AY32" s="29" t="s">
        <v>273</v>
      </c>
      <c r="AZ32" s="24" t="s">
        <v>277</v>
      </c>
      <c r="BB32" s="28">
        <f>AV32+AW32</f>
        <v>0</v>
      </c>
      <c r="BC32" s="28">
        <f>H32/(100-BD32)*100</f>
        <v>0</v>
      </c>
      <c r="BD32" s="28">
        <v>0</v>
      </c>
      <c r="BE32" s="28">
        <f>32</f>
        <v>32</v>
      </c>
      <c r="BG32" s="16">
        <f>G32*AN32</f>
        <v>0</v>
      </c>
      <c r="BH32" s="16">
        <f>G32*AO32</f>
        <v>0</v>
      </c>
      <c r="BI32" s="16">
        <f>G32*H32</f>
        <v>0</v>
      </c>
    </row>
    <row r="33" spans="3:5" ht="12.75">
      <c r="C33" s="151" t="s">
        <v>148</v>
      </c>
      <c r="D33" s="152"/>
      <c r="E33" s="152"/>
    </row>
    <row r="34" spans="1:61" ht="12.75">
      <c r="A34" s="4" t="s">
        <v>16</v>
      </c>
      <c r="B34" s="4" t="s">
        <v>73</v>
      </c>
      <c r="C34" s="153" t="s">
        <v>149</v>
      </c>
      <c r="D34" s="150"/>
      <c r="E34" s="150"/>
      <c r="F34" s="4" t="s">
        <v>237</v>
      </c>
      <c r="G34" s="65">
        <v>11.5</v>
      </c>
      <c r="H34" s="16">
        <v>0</v>
      </c>
      <c r="I34" s="16">
        <f>G34*AN34</f>
        <v>0</v>
      </c>
      <c r="J34" s="16">
        <f>G34*AO34</f>
        <v>0</v>
      </c>
      <c r="K34" s="16">
        <f>G34*H34</f>
        <v>0</v>
      </c>
      <c r="Y34" s="28">
        <f>IF(AP34="5",BI34,0)</f>
        <v>0</v>
      </c>
      <c r="AA34" s="28">
        <f>IF(AP34="1",BG34,0)</f>
        <v>0</v>
      </c>
      <c r="AB34" s="28">
        <f>IF(AP34="1",BH34,0)</f>
        <v>0</v>
      </c>
      <c r="AC34" s="28">
        <f>IF(AP34="7",BG34,0)</f>
        <v>0</v>
      </c>
      <c r="AD34" s="28">
        <f>IF(AP34="7",BH34,0)</f>
        <v>0</v>
      </c>
      <c r="AE34" s="28">
        <f>IF(AP34="2",BG34,0)</f>
        <v>0</v>
      </c>
      <c r="AF34" s="28">
        <f>IF(AP34="2",BH34,0)</f>
        <v>0</v>
      </c>
      <c r="AG34" s="28">
        <f>IF(AP34="0",BI34,0)</f>
        <v>0</v>
      </c>
      <c r="AH34" s="24"/>
      <c r="AI34" s="16">
        <f>IF(AM34=0,K34,0)</f>
        <v>0</v>
      </c>
      <c r="AJ34" s="16">
        <f>IF(AM34=15,K34,0)</f>
        <v>0</v>
      </c>
      <c r="AK34" s="16">
        <f>IF(AM34=21,K34,0)</f>
        <v>0</v>
      </c>
      <c r="AM34" s="28">
        <v>21</v>
      </c>
      <c r="AN34" s="28">
        <f>H34*0.049469276105108</f>
        <v>0</v>
      </c>
      <c r="AO34" s="28">
        <f>H34*(1-0.049469276105108)</f>
        <v>0</v>
      </c>
      <c r="AP34" s="23" t="s">
        <v>7</v>
      </c>
      <c r="AU34" s="28">
        <f>AV34+AW34</f>
        <v>0</v>
      </c>
      <c r="AV34" s="28">
        <f>G34*AN34</f>
        <v>0</v>
      </c>
      <c r="AW34" s="28">
        <f>G34*AO34</f>
        <v>0</v>
      </c>
      <c r="AX34" s="29" t="s">
        <v>265</v>
      </c>
      <c r="AY34" s="29" t="s">
        <v>273</v>
      </c>
      <c r="AZ34" s="24" t="s">
        <v>277</v>
      </c>
      <c r="BB34" s="28">
        <f>AV34+AW34</f>
        <v>0</v>
      </c>
      <c r="BC34" s="28">
        <f>H34/(100-BD34)*100</f>
        <v>0</v>
      </c>
      <c r="BD34" s="28">
        <v>0</v>
      </c>
      <c r="BE34" s="28">
        <f>34</f>
        <v>34</v>
      </c>
      <c r="BG34" s="16">
        <f>G34*AN34</f>
        <v>0</v>
      </c>
      <c r="BH34" s="16">
        <f>G34*AO34</f>
        <v>0</v>
      </c>
      <c r="BI34" s="16">
        <f>G34*H34</f>
        <v>0</v>
      </c>
    </row>
    <row r="35" spans="3:5" ht="12.75">
      <c r="C35" s="151" t="s">
        <v>150</v>
      </c>
      <c r="D35" s="152"/>
      <c r="E35" s="152"/>
    </row>
    <row r="36" spans="1:61" ht="12.75">
      <c r="A36" s="4" t="s">
        <v>17</v>
      </c>
      <c r="B36" s="4" t="s">
        <v>74</v>
      </c>
      <c r="C36" s="153" t="s">
        <v>151</v>
      </c>
      <c r="D36" s="150"/>
      <c r="E36" s="150"/>
      <c r="F36" s="4" t="s">
        <v>238</v>
      </c>
      <c r="G36" s="65">
        <v>2</v>
      </c>
      <c r="H36" s="16">
        <v>0</v>
      </c>
      <c r="I36" s="16">
        <f>G36*AN36</f>
        <v>0</v>
      </c>
      <c r="J36" s="16">
        <f>G36*AO36</f>
        <v>0</v>
      </c>
      <c r="K36" s="16">
        <f>G36*H36</f>
        <v>0</v>
      </c>
      <c r="Y36" s="28">
        <f>IF(AP36="5",BI36,0)</f>
        <v>0</v>
      </c>
      <c r="AA36" s="28">
        <f>IF(AP36="1",BG36,0)</f>
        <v>0</v>
      </c>
      <c r="AB36" s="28">
        <f>IF(AP36="1",BH36,0)</f>
        <v>0</v>
      </c>
      <c r="AC36" s="28">
        <f>IF(AP36="7",BG36,0)</f>
        <v>0</v>
      </c>
      <c r="AD36" s="28">
        <f>IF(AP36="7",BH36,0)</f>
        <v>0</v>
      </c>
      <c r="AE36" s="28">
        <f>IF(AP36="2",BG36,0)</f>
        <v>0</v>
      </c>
      <c r="AF36" s="28">
        <f>IF(AP36="2",BH36,0)</f>
        <v>0</v>
      </c>
      <c r="AG36" s="28">
        <f>IF(AP36="0",BI36,0)</f>
        <v>0</v>
      </c>
      <c r="AH36" s="24"/>
      <c r="AI36" s="16">
        <f>IF(AM36=0,K36,0)</f>
        <v>0</v>
      </c>
      <c r="AJ36" s="16">
        <f>IF(AM36=15,K36,0)</f>
        <v>0</v>
      </c>
      <c r="AK36" s="16">
        <f>IF(AM36=21,K36,0)</f>
        <v>0</v>
      </c>
      <c r="AM36" s="28">
        <v>21</v>
      </c>
      <c r="AN36" s="28">
        <f>H36*0.0476383813777236</f>
        <v>0</v>
      </c>
      <c r="AO36" s="28">
        <f>H36*(1-0.0476383813777236)</f>
        <v>0</v>
      </c>
      <c r="AP36" s="23" t="s">
        <v>7</v>
      </c>
      <c r="AU36" s="28">
        <f>AV36+AW36</f>
        <v>0</v>
      </c>
      <c r="AV36" s="28">
        <f>G36*AN36</f>
        <v>0</v>
      </c>
      <c r="AW36" s="28">
        <f>G36*AO36</f>
        <v>0</v>
      </c>
      <c r="AX36" s="29" t="s">
        <v>265</v>
      </c>
      <c r="AY36" s="29" t="s">
        <v>273</v>
      </c>
      <c r="AZ36" s="24" t="s">
        <v>277</v>
      </c>
      <c r="BB36" s="28">
        <f>AV36+AW36</f>
        <v>0</v>
      </c>
      <c r="BC36" s="28">
        <f>H36/(100-BD36)*100</f>
        <v>0</v>
      </c>
      <c r="BD36" s="28">
        <v>0</v>
      </c>
      <c r="BE36" s="28">
        <f>36</f>
        <v>36</v>
      </c>
      <c r="BG36" s="16">
        <f>G36*AN36</f>
        <v>0</v>
      </c>
      <c r="BH36" s="16">
        <f>G36*AO36</f>
        <v>0</v>
      </c>
      <c r="BI36" s="16">
        <f>G36*H36</f>
        <v>0</v>
      </c>
    </row>
    <row r="37" spans="3:7" ht="12.75">
      <c r="C37" s="154" t="s">
        <v>152</v>
      </c>
      <c r="D37" s="147"/>
      <c r="E37" s="147"/>
      <c r="G37" s="66">
        <v>2</v>
      </c>
    </row>
    <row r="38" spans="1:61" ht="12.75">
      <c r="A38" s="4" t="s">
        <v>18</v>
      </c>
      <c r="B38" s="4" t="s">
        <v>75</v>
      </c>
      <c r="C38" s="153" t="s">
        <v>153</v>
      </c>
      <c r="D38" s="150"/>
      <c r="E38" s="150"/>
      <c r="F38" s="4" t="s">
        <v>238</v>
      </c>
      <c r="G38" s="65">
        <v>4</v>
      </c>
      <c r="H38" s="16">
        <v>0</v>
      </c>
      <c r="I38" s="16">
        <f>G38*AN38</f>
        <v>0</v>
      </c>
      <c r="J38" s="16">
        <f>G38*AO38</f>
        <v>0</v>
      </c>
      <c r="K38" s="16">
        <f>G38*H38</f>
        <v>0</v>
      </c>
      <c r="Y38" s="28">
        <f>IF(AP38="5",BI38,0)</f>
        <v>0</v>
      </c>
      <c r="AA38" s="28">
        <f>IF(AP38="1",BG38,0)</f>
        <v>0</v>
      </c>
      <c r="AB38" s="28">
        <f>IF(AP38="1",BH38,0)</f>
        <v>0</v>
      </c>
      <c r="AC38" s="28">
        <f>IF(AP38="7",BG38,0)</f>
        <v>0</v>
      </c>
      <c r="AD38" s="28">
        <f>IF(AP38="7",BH38,0)</f>
        <v>0</v>
      </c>
      <c r="AE38" s="28">
        <f>IF(AP38="2",BG38,0)</f>
        <v>0</v>
      </c>
      <c r="AF38" s="28">
        <f>IF(AP38="2",BH38,0)</f>
        <v>0</v>
      </c>
      <c r="AG38" s="28">
        <f>IF(AP38="0",BI38,0)</f>
        <v>0</v>
      </c>
      <c r="AH38" s="24"/>
      <c r="AI38" s="16">
        <f>IF(AM38=0,K38,0)</f>
        <v>0</v>
      </c>
      <c r="AJ38" s="16">
        <f>IF(AM38=15,K38,0)</f>
        <v>0</v>
      </c>
      <c r="AK38" s="16">
        <f>IF(AM38=21,K38,0)</f>
        <v>0</v>
      </c>
      <c r="AM38" s="28">
        <v>21</v>
      </c>
      <c r="AN38" s="28">
        <f>H38*0.0252028639618138</f>
        <v>0</v>
      </c>
      <c r="AO38" s="28">
        <f>H38*(1-0.0252028639618138)</f>
        <v>0</v>
      </c>
      <c r="AP38" s="23" t="s">
        <v>7</v>
      </c>
      <c r="AU38" s="28">
        <f>AV38+AW38</f>
        <v>0</v>
      </c>
      <c r="AV38" s="28">
        <f>G38*AN38</f>
        <v>0</v>
      </c>
      <c r="AW38" s="28">
        <f>G38*AO38</f>
        <v>0</v>
      </c>
      <c r="AX38" s="29" t="s">
        <v>265</v>
      </c>
      <c r="AY38" s="29" t="s">
        <v>273</v>
      </c>
      <c r="AZ38" s="24" t="s">
        <v>277</v>
      </c>
      <c r="BB38" s="28">
        <f>AV38+AW38</f>
        <v>0</v>
      </c>
      <c r="BC38" s="28">
        <f>H38/(100-BD38)*100</f>
        <v>0</v>
      </c>
      <c r="BD38" s="28">
        <v>0</v>
      </c>
      <c r="BE38" s="28">
        <f>38</f>
        <v>38</v>
      </c>
      <c r="BG38" s="16">
        <f>G38*AN38</f>
        <v>0</v>
      </c>
      <c r="BH38" s="16">
        <f>G38*AO38</f>
        <v>0</v>
      </c>
      <c r="BI38" s="16">
        <f>G38*H38</f>
        <v>0</v>
      </c>
    </row>
    <row r="39" spans="3:7" ht="12.75">
      <c r="C39" s="154" t="s">
        <v>154</v>
      </c>
      <c r="D39" s="147"/>
      <c r="E39" s="147"/>
      <c r="G39" s="66">
        <v>4</v>
      </c>
    </row>
    <row r="40" spans="1:61" ht="12.75">
      <c r="A40" s="4" t="s">
        <v>19</v>
      </c>
      <c r="B40" s="4" t="s">
        <v>76</v>
      </c>
      <c r="C40" s="153" t="s">
        <v>155</v>
      </c>
      <c r="D40" s="150"/>
      <c r="E40" s="150"/>
      <c r="F40" s="4" t="s">
        <v>235</v>
      </c>
      <c r="G40" s="65">
        <v>6.885</v>
      </c>
      <c r="H40" s="16">
        <v>0</v>
      </c>
      <c r="I40" s="16">
        <f>G40*AN40</f>
        <v>0</v>
      </c>
      <c r="J40" s="16">
        <f>G40*AO40</f>
        <v>0</v>
      </c>
      <c r="K40" s="16">
        <f>G40*H40</f>
        <v>0</v>
      </c>
      <c r="Y40" s="28">
        <f>IF(AP40="5",BI40,0)</f>
        <v>0</v>
      </c>
      <c r="AA40" s="28">
        <f>IF(AP40="1",BG40,0)</f>
        <v>0</v>
      </c>
      <c r="AB40" s="28">
        <f>IF(AP40="1",BH40,0)</f>
        <v>0</v>
      </c>
      <c r="AC40" s="28">
        <f>IF(AP40="7",BG40,0)</f>
        <v>0</v>
      </c>
      <c r="AD40" s="28">
        <f>IF(AP40="7",BH40,0)</f>
        <v>0</v>
      </c>
      <c r="AE40" s="28">
        <f>IF(AP40="2",BG40,0)</f>
        <v>0</v>
      </c>
      <c r="AF40" s="28">
        <f>IF(AP40="2",BH40,0)</f>
        <v>0</v>
      </c>
      <c r="AG40" s="28">
        <f>IF(AP40="0",BI40,0)</f>
        <v>0</v>
      </c>
      <c r="AH40" s="24"/>
      <c r="AI40" s="16">
        <f>IF(AM40=0,K40,0)</f>
        <v>0</v>
      </c>
      <c r="AJ40" s="16">
        <f>IF(AM40=15,K40,0)</f>
        <v>0</v>
      </c>
      <c r="AK40" s="16">
        <f>IF(AM40=21,K40,0)</f>
        <v>0</v>
      </c>
      <c r="AM40" s="28">
        <v>21</v>
      </c>
      <c r="AN40" s="28">
        <f>H40*0</f>
        <v>0</v>
      </c>
      <c r="AO40" s="28">
        <f>H40*(1-0)</f>
        <v>0</v>
      </c>
      <c r="AP40" s="23" t="s">
        <v>7</v>
      </c>
      <c r="AU40" s="28">
        <f>AV40+AW40</f>
        <v>0</v>
      </c>
      <c r="AV40" s="28">
        <f>G40*AN40</f>
        <v>0</v>
      </c>
      <c r="AW40" s="28">
        <f>G40*AO40</f>
        <v>0</v>
      </c>
      <c r="AX40" s="29" t="s">
        <v>265</v>
      </c>
      <c r="AY40" s="29" t="s">
        <v>273</v>
      </c>
      <c r="AZ40" s="24" t="s">
        <v>277</v>
      </c>
      <c r="BB40" s="28">
        <f>AV40+AW40</f>
        <v>0</v>
      </c>
      <c r="BC40" s="28">
        <f>H40/(100-BD40)*100</f>
        <v>0</v>
      </c>
      <c r="BD40" s="28">
        <v>0</v>
      </c>
      <c r="BE40" s="28">
        <f>40</f>
        <v>40</v>
      </c>
      <c r="BG40" s="16">
        <f>G40*AN40</f>
        <v>0</v>
      </c>
      <c r="BH40" s="16">
        <f>G40*AO40</f>
        <v>0</v>
      </c>
      <c r="BI40" s="16">
        <f>G40*H40</f>
        <v>0</v>
      </c>
    </row>
    <row r="41" spans="3:7" ht="12.75">
      <c r="C41" s="154" t="s">
        <v>156</v>
      </c>
      <c r="D41" s="147"/>
      <c r="E41" s="147"/>
      <c r="G41" s="66">
        <v>0</v>
      </c>
    </row>
    <row r="42" spans="3:7" ht="12.75">
      <c r="C42" s="154" t="s">
        <v>157</v>
      </c>
      <c r="D42" s="147"/>
      <c r="E42" s="147"/>
      <c r="G42" s="66">
        <v>2.385</v>
      </c>
    </row>
    <row r="43" spans="3:7" ht="12.75">
      <c r="C43" s="154" t="s">
        <v>158</v>
      </c>
      <c r="D43" s="147"/>
      <c r="E43" s="147"/>
      <c r="G43" s="66">
        <v>0</v>
      </c>
    </row>
    <row r="44" spans="3:7" ht="12.75">
      <c r="C44" s="154" t="s">
        <v>159</v>
      </c>
      <c r="D44" s="147"/>
      <c r="E44" s="147"/>
      <c r="G44" s="66">
        <v>1.8</v>
      </c>
    </row>
    <row r="45" spans="3:7" ht="12.75">
      <c r="C45" s="154" t="s">
        <v>160</v>
      </c>
      <c r="D45" s="147"/>
      <c r="E45" s="147"/>
      <c r="G45" s="66">
        <v>2.7</v>
      </c>
    </row>
    <row r="46" spans="1:46" ht="12.75">
      <c r="A46" s="5"/>
      <c r="B46" s="13" t="s">
        <v>77</v>
      </c>
      <c r="C46" s="155" t="s">
        <v>161</v>
      </c>
      <c r="D46" s="156"/>
      <c r="E46" s="156"/>
      <c r="F46" s="5" t="s">
        <v>6</v>
      </c>
      <c r="G46" s="5" t="s">
        <v>6</v>
      </c>
      <c r="H46" s="5" t="s">
        <v>6</v>
      </c>
      <c r="I46" s="31">
        <f>SUM(I47:I47)</f>
        <v>0</v>
      </c>
      <c r="J46" s="31">
        <f>SUM(J47:J47)</f>
        <v>0</v>
      </c>
      <c r="K46" s="31">
        <f>SUM(K47:K47)</f>
        <v>0</v>
      </c>
      <c r="AH46" s="24"/>
      <c r="AR46" s="31">
        <f>SUM(AI47:AI47)</f>
        <v>0</v>
      </c>
      <c r="AS46" s="31">
        <f>SUM(AJ47:AJ47)</f>
        <v>0</v>
      </c>
      <c r="AT46" s="31">
        <f>SUM(AK47:AK47)</f>
        <v>0</v>
      </c>
    </row>
    <row r="47" spans="1:61" ht="12.75">
      <c r="A47" s="4" t="s">
        <v>20</v>
      </c>
      <c r="B47" s="4" t="s">
        <v>78</v>
      </c>
      <c r="C47" s="153" t="s">
        <v>162</v>
      </c>
      <c r="D47" s="150"/>
      <c r="E47" s="150"/>
      <c r="F47" s="4" t="s">
        <v>239</v>
      </c>
      <c r="G47" s="65">
        <v>3.64</v>
      </c>
      <c r="H47" s="16">
        <v>0</v>
      </c>
      <c r="I47" s="16">
        <f>G47*AN47</f>
        <v>0</v>
      </c>
      <c r="J47" s="16">
        <f>G47*AO47</f>
        <v>0</v>
      </c>
      <c r="K47" s="16">
        <f>G47*H47</f>
        <v>0</v>
      </c>
      <c r="Y47" s="28">
        <f>IF(AP47="5",BI47,0)</f>
        <v>0</v>
      </c>
      <c r="AA47" s="28">
        <f>IF(AP47="1",BG47,0)</f>
        <v>0</v>
      </c>
      <c r="AB47" s="28">
        <f>IF(AP47="1",BH47,0)</f>
        <v>0</v>
      </c>
      <c r="AC47" s="28">
        <f>IF(AP47="7",BG47,0)</f>
        <v>0</v>
      </c>
      <c r="AD47" s="28">
        <f>IF(AP47="7",BH47,0)</f>
        <v>0</v>
      </c>
      <c r="AE47" s="28">
        <f>IF(AP47="2",BG47,0)</f>
        <v>0</v>
      </c>
      <c r="AF47" s="28">
        <f>IF(AP47="2",BH47,0)</f>
        <v>0</v>
      </c>
      <c r="AG47" s="28">
        <f>IF(AP47="0",BI47,0)</f>
        <v>0</v>
      </c>
      <c r="AH47" s="24"/>
      <c r="AI47" s="16">
        <f>IF(AM47=0,K47,0)</f>
        <v>0</v>
      </c>
      <c r="AJ47" s="16">
        <f>IF(AM47=15,K47,0)</f>
        <v>0</v>
      </c>
      <c r="AK47" s="16">
        <f>IF(AM47=21,K47,0)</f>
        <v>0</v>
      </c>
      <c r="AM47" s="28">
        <v>21</v>
      </c>
      <c r="AN47" s="28">
        <f>H47*0</f>
        <v>0</v>
      </c>
      <c r="AO47" s="28">
        <f>H47*(1-0)</f>
        <v>0</v>
      </c>
      <c r="AP47" s="23" t="s">
        <v>11</v>
      </c>
      <c r="AU47" s="28">
        <f>AV47+AW47</f>
        <v>0</v>
      </c>
      <c r="AV47" s="28">
        <f>G47*AN47</f>
        <v>0</v>
      </c>
      <c r="AW47" s="28">
        <f>G47*AO47</f>
        <v>0</v>
      </c>
      <c r="AX47" s="29" t="s">
        <v>266</v>
      </c>
      <c r="AY47" s="29" t="s">
        <v>273</v>
      </c>
      <c r="AZ47" s="24" t="s">
        <v>277</v>
      </c>
      <c r="BB47" s="28">
        <f>AV47+AW47</f>
        <v>0</v>
      </c>
      <c r="BC47" s="28">
        <f>H47/(100-BD47)*100</f>
        <v>0</v>
      </c>
      <c r="BD47" s="28">
        <v>0</v>
      </c>
      <c r="BE47" s="28">
        <f>47</f>
        <v>47</v>
      </c>
      <c r="BG47" s="16">
        <f>G47*AN47</f>
        <v>0</v>
      </c>
      <c r="BH47" s="16">
        <f>G47*AO47</f>
        <v>0</v>
      </c>
      <c r="BI47" s="16">
        <f>G47*H47</f>
        <v>0</v>
      </c>
    </row>
    <row r="48" spans="1:46" ht="12.75">
      <c r="A48" s="5"/>
      <c r="B48" s="13" t="s">
        <v>79</v>
      </c>
      <c r="C48" s="155" t="s">
        <v>163</v>
      </c>
      <c r="D48" s="156"/>
      <c r="E48" s="156"/>
      <c r="F48" s="5" t="s">
        <v>6</v>
      </c>
      <c r="G48" s="5" t="s">
        <v>6</v>
      </c>
      <c r="H48" s="5" t="s">
        <v>6</v>
      </c>
      <c r="I48" s="31">
        <f>SUM(I49:I58)</f>
        <v>0</v>
      </c>
      <c r="J48" s="31">
        <f>SUM(J49:J58)</f>
        <v>0</v>
      </c>
      <c r="K48" s="31">
        <f>SUM(K49:K58)</f>
        <v>0</v>
      </c>
      <c r="AH48" s="24"/>
      <c r="AR48" s="31">
        <f>SUM(AI49:AI58)</f>
        <v>0</v>
      </c>
      <c r="AS48" s="31">
        <f>SUM(AJ49:AJ58)</f>
        <v>0</v>
      </c>
      <c r="AT48" s="31">
        <f>SUM(AK49:AK58)</f>
        <v>0</v>
      </c>
    </row>
    <row r="49" spans="1:61" ht="12.75">
      <c r="A49" s="4" t="s">
        <v>21</v>
      </c>
      <c r="B49" s="4" t="s">
        <v>80</v>
      </c>
      <c r="C49" s="153" t="s">
        <v>164</v>
      </c>
      <c r="D49" s="150"/>
      <c r="E49" s="150"/>
      <c r="F49" s="4" t="s">
        <v>239</v>
      </c>
      <c r="G49" s="65">
        <v>6.459</v>
      </c>
      <c r="H49" s="16">
        <v>0</v>
      </c>
      <c r="I49" s="16">
        <f>G49*AN49</f>
        <v>0</v>
      </c>
      <c r="J49" s="16">
        <f>G49*AO49</f>
        <v>0</v>
      </c>
      <c r="K49" s="16">
        <f>G49*H49</f>
        <v>0</v>
      </c>
      <c r="Y49" s="28">
        <f>IF(AP49="5",BI49,0)</f>
        <v>0</v>
      </c>
      <c r="AA49" s="28">
        <f>IF(AP49="1",BG49,0)</f>
        <v>0</v>
      </c>
      <c r="AB49" s="28">
        <f>IF(AP49="1",BH49,0)</f>
        <v>0</v>
      </c>
      <c r="AC49" s="28">
        <f>IF(AP49="7",BG49,0)</f>
        <v>0</v>
      </c>
      <c r="AD49" s="28">
        <f>IF(AP49="7",BH49,0)</f>
        <v>0</v>
      </c>
      <c r="AE49" s="28">
        <f>IF(AP49="2",BG49,0)</f>
        <v>0</v>
      </c>
      <c r="AF49" s="28">
        <f>IF(AP49="2",BH49,0)</f>
        <v>0</v>
      </c>
      <c r="AG49" s="28">
        <f>IF(AP49="0",BI49,0)</f>
        <v>0</v>
      </c>
      <c r="AH49" s="24"/>
      <c r="AI49" s="16">
        <f>IF(AM49=0,K49,0)</f>
        <v>0</v>
      </c>
      <c r="AJ49" s="16">
        <f>IF(AM49=15,K49,0)</f>
        <v>0</v>
      </c>
      <c r="AK49" s="16">
        <f>IF(AM49=21,K49,0)</f>
        <v>0</v>
      </c>
      <c r="AM49" s="28">
        <v>21</v>
      </c>
      <c r="AN49" s="28">
        <f>H49*0</f>
        <v>0</v>
      </c>
      <c r="AO49" s="28">
        <f>H49*(1-0)</f>
        <v>0</v>
      </c>
      <c r="AP49" s="23" t="s">
        <v>11</v>
      </c>
      <c r="AU49" s="28">
        <f>AV49+AW49</f>
        <v>0</v>
      </c>
      <c r="AV49" s="28">
        <f>G49*AN49</f>
        <v>0</v>
      </c>
      <c r="AW49" s="28">
        <f>G49*AO49</f>
        <v>0</v>
      </c>
      <c r="AX49" s="29" t="s">
        <v>267</v>
      </c>
      <c r="AY49" s="29" t="s">
        <v>273</v>
      </c>
      <c r="AZ49" s="24" t="s">
        <v>277</v>
      </c>
      <c r="BB49" s="28">
        <f>AV49+AW49</f>
        <v>0</v>
      </c>
      <c r="BC49" s="28">
        <f>H49/(100-BD49)*100</f>
        <v>0</v>
      </c>
      <c r="BD49" s="28">
        <v>0</v>
      </c>
      <c r="BE49" s="28">
        <f>49</f>
        <v>49</v>
      </c>
      <c r="BG49" s="16">
        <f>G49*AN49</f>
        <v>0</v>
      </c>
      <c r="BH49" s="16">
        <f>G49*AO49</f>
        <v>0</v>
      </c>
      <c r="BI49" s="16">
        <f>G49*H49</f>
        <v>0</v>
      </c>
    </row>
    <row r="50" spans="1:61" ht="12.75">
      <c r="A50" s="4" t="s">
        <v>22</v>
      </c>
      <c r="B50" s="4" t="s">
        <v>81</v>
      </c>
      <c r="C50" s="153" t="s">
        <v>165</v>
      </c>
      <c r="D50" s="150"/>
      <c r="E50" s="150"/>
      <c r="F50" s="4" t="s">
        <v>239</v>
      </c>
      <c r="G50" s="65">
        <v>6.459</v>
      </c>
      <c r="H50" s="16">
        <v>0</v>
      </c>
      <c r="I50" s="16">
        <f>G50*AN50</f>
        <v>0</v>
      </c>
      <c r="J50" s="16">
        <f>G50*AO50</f>
        <v>0</v>
      </c>
      <c r="K50" s="16">
        <f>G50*H50</f>
        <v>0</v>
      </c>
      <c r="Y50" s="28">
        <f>IF(AP50="5",BI50,0)</f>
        <v>0</v>
      </c>
      <c r="AA50" s="28">
        <f>IF(AP50="1",BG50,0)</f>
        <v>0</v>
      </c>
      <c r="AB50" s="28">
        <f>IF(AP50="1",BH50,0)</f>
        <v>0</v>
      </c>
      <c r="AC50" s="28">
        <f>IF(AP50="7",BG50,0)</f>
        <v>0</v>
      </c>
      <c r="AD50" s="28">
        <f>IF(AP50="7",BH50,0)</f>
        <v>0</v>
      </c>
      <c r="AE50" s="28">
        <f>IF(AP50="2",BG50,0)</f>
        <v>0</v>
      </c>
      <c r="AF50" s="28">
        <f>IF(AP50="2",BH50,0)</f>
        <v>0</v>
      </c>
      <c r="AG50" s="28">
        <f>IF(AP50="0",BI50,0)</f>
        <v>0</v>
      </c>
      <c r="AH50" s="24"/>
      <c r="AI50" s="16">
        <f>IF(AM50=0,K50,0)</f>
        <v>0</v>
      </c>
      <c r="AJ50" s="16">
        <f>IF(AM50=15,K50,0)</f>
        <v>0</v>
      </c>
      <c r="AK50" s="16">
        <f>IF(AM50=21,K50,0)</f>
        <v>0</v>
      </c>
      <c r="AM50" s="28">
        <v>21</v>
      </c>
      <c r="AN50" s="28">
        <f>H50*0</f>
        <v>0</v>
      </c>
      <c r="AO50" s="28">
        <f>H50*(1-0)</f>
        <v>0</v>
      </c>
      <c r="AP50" s="23" t="s">
        <v>11</v>
      </c>
      <c r="AU50" s="28">
        <f>AV50+AW50</f>
        <v>0</v>
      </c>
      <c r="AV50" s="28">
        <f>G50*AN50</f>
        <v>0</v>
      </c>
      <c r="AW50" s="28">
        <f>G50*AO50</f>
        <v>0</v>
      </c>
      <c r="AX50" s="29" t="s">
        <v>267</v>
      </c>
      <c r="AY50" s="29" t="s">
        <v>273</v>
      </c>
      <c r="AZ50" s="24" t="s">
        <v>277</v>
      </c>
      <c r="BB50" s="28">
        <f>AV50+AW50</f>
        <v>0</v>
      </c>
      <c r="BC50" s="28">
        <f>H50/(100-BD50)*100</f>
        <v>0</v>
      </c>
      <c r="BD50" s="28">
        <v>0</v>
      </c>
      <c r="BE50" s="28">
        <f>50</f>
        <v>50</v>
      </c>
      <c r="BG50" s="16">
        <f>G50*AN50</f>
        <v>0</v>
      </c>
      <c r="BH50" s="16">
        <f>G50*AO50</f>
        <v>0</v>
      </c>
      <c r="BI50" s="16">
        <f>G50*H50</f>
        <v>0</v>
      </c>
    </row>
    <row r="51" spans="1:61" ht="12.75">
      <c r="A51" s="4" t="s">
        <v>23</v>
      </c>
      <c r="B51" s="4" t="s">
        <v>82</v>
      </c>
      <c r="C51" s="153" t="s">
        <v>166</v>
      </c>
      <c r="D51" s="150"/>
      <c r="E51" s="150"/>
      <c r="F51" s="4" t="s">
        <v>239</v>
      </c>
      <c r="G51" s="65">
        <v>6.459</v>
      </c>
      <c r="H51" s="16">
        <v>0</v>
      </c>
      <c r="I51" s="16">
        <f>G51*AN51</f>
        <v>0</v>
      </c>
      <c r="J51" s="16">
        <f>G51*AO51</f>
        <v>0</v>
      </c>
      <c r="K51" s="16">
        <f>G51*H51</f>
        <v>0</v>
      </c>
      <c r="Y51" s="28">
        <f>IF(AP51="5",BI51,0)</f>
        <v>0</v>
      </c>
      <c r="AA51" s="28">
        <f>IF(AP51="1",BG51,0)</f>
        <v>0</v>
      </c>
      <c r="AB51" s="28">
        <f>IF(AP51="1",BH51,0)</f>
        <v>0</v>
      </c>
      <c r="AC51" s="28">
        <f>IF(AP51="7",BG51,0)</f>
        <v>0</v>
      </c>
      <c r="AD51" s="28">
        <f>IF(AP51="7",BH51,0)</f>
        <v>0</v>
      </c>
      <c r="AE51" s="28">
        <f>IF(AP51="2",BG51,0)</f>
        <v>0</v>
      </c>
      <c r="AF51" s="28">
        <f>IF(AP51="2",BH51,0)</f>
        <v>0</v>
      </c>
      <c r="AG51" s="28">
        <f>IF(AP51="0",BI51,0)</f>
        <v>0</v>
      </c>
      <c r="AH51" s="24"/>
      <c r="AI51" s="16">
        <f>IF(AM51=0,K51,0)</f>
        <v>0</v>
      </c>
      <c r="AJ51" s="16">
        <f>IF(AM51=15,K51,0)</f>
        <v>0</v>
      </c>
      <c r="AK51" s="16">
        <f>IF(AM51=21,K51,0)</f>
        <v>0</v>
      </c>
      <c r="AM51" s="28">
        <v>21</v>
      </c>
      <c r="AN51" s="28">
        <f>H51*0</f>
        <v>0</v>
      </c>
      <c r="AO51" s="28">
        <f>H51*(1-0)</f>
        <v>0</v>
      </c>
      <c r="AP51" s="23" t="s">
        <v>11</v>
      </c>
      <c r="AU51" s="28">
        <f>AV51+AW51</f>
        <v>0</v>
      </c>
      <c r="AV51" s="28">
        <f>G51*AN51</f>
        <v>0</v>
      </c>
      <c r="AW51" s="28">
        <f>G51*AO51</f>
        <v>0</v>
      </c>
      <c r="AX51" s="29" t="s">
        <v>267</v>
      </c>
      <c r="AY51" s="29" t="s">
        <v>273</v>
      </c>
      <c r="AZ51" s="24" t="s">
        <v>277</v>
      </c>
      <c r="BB51" s="28">
        <f>AV51+AW51</f>
        <v>0</v>
      </c>
      <c r="BC51" s="28">
        <f>H51/(100-BD51)*100</f>
        <v>0</v>
      </c>
      <c r="BD51" s="28">
        <v>0</v>
      </c>
      <c r="BE51" s="28">
        <f>51</f>
        <v>51</v>
      </c>
      <c r="BG51" s="16">
        <f>G51*AN51</f>
        <v>0</v>
      </c>
      <c r="BH51" s="16">
        <f>G51*AO51</f>
        <v>0</v>
      </c>
      <c r="BI51" s="16">
        <f>G51*H51</f>
        <v>0</v>
      </c>
    </row>
    <row r="52" spans="1:61" ht="12.75">
      <c r="A52" s="4" t="s">
        <v>24</v>
      </c>
      <c r="B52" s="4" t="s">
        <v>83</v>
      </c>
      <c r="C52" s="153" t="s">
        <v>167</v>
      </c>
      <c r="D52" s="150"/>
      <c r="E52" s="150"/>
      <c r="F52" s="4" t="s">
        <v>239</v>
      </c>
      <c r="G52" s="65">
        <v>64.59</v>
      </c>
      <c r="H52" s="16">
        <v>0</v>
      </c>
      <c r="I52" s="16">
        <f>G52*AN52</f>
        <v>0</v>
      </c>
      <c r="J52" s="16">
        <f>G52*AO52</f>
        <v>0</v>
      </c>
      <c r="K52" s="16">
        <f>G52*H52</f>
        <v>0</v>
      </c>
      <c r="Y52" s="28">
        <f>IF(AP52="5",BI52,0)</f>
        <v>0</v>
      </c>
      <c r="AA52" s="28">
        <f>IF(AP52="1",BG52,0)</f>
        <v>0</v>
      </c>
      <c r="AB52" s="28">
        <f>IF(AP52="1",BH52,0)</f>
        <v>0</v>
      </c>
      <c r="AC52" s="28">
        <f>IF(AP52="7",BG52,0)</f>
        <v>0</v>
      </c>
      <c r="AD52" s="28">
        <f>IF(AP52="7",BH52,0)</f>
        <v>0</v>
      </c>
      <c r="AE52" s="28">
        <f>IF(AP52="2",BG52,0)</f>
        <v>0</v>
      </c>
      <c r="AF52" s="28">
        <f>IF(AP52="2",BH52,0)</f>
        <v>0</v>
      </c>
      <c r="AG52" s="28">
        <f>IF(AP52="0",BI52,0)</f>
        <v>0</v>
      </c>
      <c r="AH52" s="24"/>
      <c r="AI52" s="16">
        <f>IF(AM52=0,K52,0)</f>
        <v>0</v>
      </c>
      <c r="AJ52" s="16">
        <f>IF(AM52=15,K52,0)</f>
        <v>0</v>
      </c>
      <c r="AK52" s="16">
        <f>IF(AM52=21,K52,0)</f>
        <v>0</v>
      </c>
      <c r="AM52" s="28">
        <v>21</v>
      </c>
      <c r="AN52" s="28">
        <f>H52*0</f>
        <v>0</v>
      </c>
      <c r="AO52" s="28">
        <f>H52*(1-0)</f>
        <v>0</v>
      </c>
      <c r="AP52" s="23" t="s">
        <v>11</v>
      </c>
      <c r="AU52" s="28">
        <f>AV52+AW52</f>
        <v>0</v>
      </c>
      <c r="AV52" s="28">
        <f>G52*AN52</f>
        <v>0</v>
      </c>
      <c r="AW52" s="28">
        <f>G52*AO52</f>
        <v>0</v>
      </c>
      <c r="AX52" s="29" t="s">
        <v>267</v>
      </c>
      <c r="AY52" s="29" t="s">
        <v>273</v>
      </c>
      <c r="AZ52" s="24" t="s">
        <v>277</v>
      </c>
      <c r="BB52" s="28">
        <f>AV52+AW52</f>
        <v>0</v>
      </c>
      <c r="BC52" s="28">
        <f>H52/(100-BD52)*100</f>
        <v>0</v>
      </c>
      <c r="BD52" s="28">
        <v>0</v>
      </c>
      <c r="BE52" s="28">
        <f>52</f>
        <v>52</v>
      </c>
      <c r="BG52" s="16">
        <f>G52*AN52</f>
        <v>0</v>
      </c>
      <c r="BH52" s="16">
        <f>G52*AO52</f>
        <v>0</v>
      </c>
      <c r="BI52" s="16">
        <f>G52*H52</f>
        <v>0</v>
      </c>
    </row>
    <row r="53" spans="3:7" ht="12.75">
      <c r="C53" s="154" t="s">
        <v>168</v>
      </c>
      <c r="D53" s="147"/>
      <c r="E53" s="147"/>
      <c r="G53" s="66">
        <v>64.59</v>
      </c>
    </row>
    <row r="54" spans="1:61" ht="12.75">
      <c r="A54" s="4" t="s">
        <v>25</v>
      </c>
      <c r="B54" s="4" t="s">
        <v>84</v>
      </c>
      <c r="C54" s="153" t="s">
        <v>169</v>
      </c>
      <c r="D54" s="150"/>
      <c r="E54" s="150"/>
      <c r="F54" s="4" t="s">
        <v>239</v>
      </c>
      <c r="G54" s="65">
        <v>6.459</v>
      </c>
      <c r="H54" s="16">
        <v>0</v>
      </c>
      <c r="I54" s="16">
        <f>G54*AN54</f>
        <v>0</v>
      </c>
      <c r="J54" s="16">
        <f>G54*AO54</f>
        <v>0</v>
      </c>
      <c r="K54" s="16">
        <f>G54*H54</f>
        <v>0</v>
      </c>
      <c r="Y54" s="28">
        <f>IF(AP54="5",BI54,0)</f>
        <v>0</v>
      </c>
      <c r="AA54" s="28">
        <f>IF(AP54="1",BG54,0)</f>
        <v>0</v>
      </c>
      <c r="AB54" s="28">
        <f>IF(AP54="1",BH54,0)</f>
        <v>0</v>
      </c>
      <c r="AC54" s="28">
        <f>IF(AP54="7",BG54,0)</f>
        <v>0</v>
      </c>
      <c r="AD54" s="28">
        <f>IF(AP54="7",BH54,0)</f>
        <v>0</v>
      </c>
      <c r="AE54" s="28">
        <f>IF(AP54="2",BG54,0)</f>
        <v>0</v>
      </c>
      <c r="AF54" s="28">
        <f>IF(AP54="2",BH54,0)</f>
        <v>0</v>
      </c>
      <c r="AG54" s="28">
        <f>IF(AP54="0",BI54,0)</f>
        <v>0</v>
      </c>
      <c r="AH54" s="24"/>
      <c r="AI54" s="16">
        <f>IF(AM54=0,K54,0)</f>
        <v>0</v>
      </c>
      <c r="AJ54" s="16">
        <f>IF(AM54=15,K54,0)</f>
        <v>0</v>
      </c>
      <c r="AK54" s="16">
        <f>IF(AM54=21,K54,0)</f>
        <v>0</v>
      </c>
      <c r="AM54" s="28">
        <v>21</v>
      </c>
      <c r="AN54" s="28">
        <f>H54*0</f>
        <v>0</v>
      </c>
      <c r="AO54" s="28">
        <f>H54*(1-0)</f>
        <v>0</v>
      </c>
      <c r="AP54" s="23" t="s">
        <v>11</v>
      </c>
      <c r="AU54" s="28">
        <f>AV54+AW54</f>
        <v>0</v>
      </c>
      <c r="AV54" s="28">
        <f>G54*AN54</f>
        <v>0</v>
      </c>
      <c r="AW54" s="28">
        <f>G54*AO54</f>
        <v>0</v>
      </c>
      <c r="AX54" s="29" t="s">
        <v>267</v>
      </c>
      <c r="AY54" s="29" t="s">
        <v>273</v>
      </c>
      <c r="AZ54" s="24" t="s">
        <v>277</v>
      </c>
      <c r="BB54" s="28">
        <f>AV54+AW54</f>
        <v>0</v>
      </c>
      <c r="BC54" s="28">
        <f>H54/(100-BD54)*100</f>
        <v>0</v>
      </c>
      <c r="BD54" s="28">
        <v>0</v>
      </c>
      <c r="BE54" s="28">
        <f>54</f>
        <v>54</v>
      </c>
      <c r="BG54" s="16">
        <f>G54*AN54</f>
        <v>0</v>
      </c>
      <c r="BH54" s="16">
        <f>G54*AO54</f>
        <v>0</v>
      </c>
      <c r="BI54" s="16">
        <f>G54*H54</f>
        <v>0</v>
      </c>
    </row>
    <row r="55" spans="1:61" ht="12.75">
      <c r="A55" s="4" t="s">
        <v>26</v>
      </c>
      <c r="B55" s="4" t="s">
        <v>85</v>
      </c>
      <c r="C55" s="153" t="s">
        <v>170</v>
      </c>
      <c r="D55" s="150"/>
      <c r="E55" s="150"/>
      <c r="F55" s="4" t="s">
        <v>239</v>
      </c>
      <c r="G55" s="65">
        <v>122.721</v>
      </c>
      <c r="H55" s="16">
        <v>0</v>
      </c>
      <c r="I55" s="16">
        <f>G55*AN55</f>
        <v>0</v>
      </c>
      <c r="J55" s="16">
        <f>G55*AO55</f>
        <v>0</v>
      </c>
      <c r="K55" s="16">
        <f>G55*H55</f>
        <v>0</v>
      </c>
      <c r="Y55" s="28">
        <f>IF(AP55="5",BI55,0)</f>
        <v>0</v>
      </c>
      <c r="AA55" s="28">
        <f>IF(AP55="1",BG55,0)</f>
        <v>0</v>
      </c>
      <c r="AB55" s="28">
        <f>IF(AP55="1",BH55,0)</f>
        <v>0</v>
      </c>
      <c r="AC55" s="28">
        <f>IF(AP55="7",BG55,0)</f>
        <v>0</v>
      </c>
      <c r="AD55" s="28">
        <f>IF(AP55="7",BH55,0)</f>
        <v>0</v>
      </c>
      <c r="AE55" s="28">
        <f>IF(AP55="2",BG55,0)</f>
        <v>0</v>
      </c>
      <c r="AF55" s="28">
        <f>IF(AP55="2",BH55,0)</f>
        <v>0</v>
      </c>
      <c r="AG55" s="28">
        <f>IF(AP55="0",BI55,0)</f>
        <v>0</v>
      </c>
      <c r="AH55" s="24"/>
      <c r="AI55" s="16">
        <f>IF(AM55=0,K55,0)</f>
        <v>0</v>
      </c>
      <c r="AJ55" s="16">
        <f>IF(AM55=15,K55,0)</f>
        <v>0</v>
      </c>
      <c r="AK55" s="16">
        <f>IF(AM55=21,K55,0)</f>
        <v>0</v>
      </c>
      <c r="AM55" s="28">
        <v>21</v>
      </c>
      <c r="AN55" s="28">
        <f>H55*0</f>
        <v>0</v>
      </c>
      <c r="AO55" s="28">
        <f>H55*(1-0)</f>
        <v>0</v>
      </c>
      <c r="AP55" s="23" t="s">
        <v>11</v>
      </c>
      <c r="AU55" s="28">
        <f>AV55+AW55</f>
        <v>0</v>
      </c>
      <c r="AV55" s="28">
        <f>G55*AN55</f>
        <v>0</v>
      </c>
      <c r="AW55" s="28">
        <f>G55*AO55</f>
        <v>0</v>
      </c>
      <c r="AX55" s="29" t="s">
        <v>267</v>
      </c>
      <c r="AY55" s="29" t="s">
        <v>273</v>
      </c>
      <c r="AZ55" s="24" t="s">
        <v>277</v>
      </c>
      <c r="BB55" s="28">
        <f>AV55+AW55</f>
        <v>0</v>
      </c>
      <c r="BC55" s="28">
        <f>H55/(100-BD55)*100</f>
        <v>0</v>
      </c>
      <c r="BD55" s="28">
        <v>0</v>
      </c>
      <c r="BE55" s="28">
        <f>55</f>
        <v>55</v>
      </c>
      <c r="BG55" s="16">
        <f>G55*AN55</f>
        <v>0</v>
      </c>
      <c r="BH55" s="16">
        <f>G55*AO55</f>
        <v>0</v>
      </c>
      <c r="BI55" s="16">
        <f>G55*H55</f>
        <v>0</v>
      </c>
    </row>
    <row r="56" spans="3:7" ht="12.75">
      <c r="C56" s="154" t="s">
        <v>171</v>
      </c>
      <c r="D56" s="147"/>
      <c r="E56" s="147"/>
      <c r="G56" s="66">
        <v>122.721</v>
      </c>
    </row>
    <row r="57" spans="1:61" ht="12.75">
      <c r="A57" s="4" t="s">
        <v>27</v>
      </c>
      <c r="B57" s="4" t="s">
        <v>86</v>
      </c>
      <c r="C57" s="153" t="s">
        <v>172</v>
      </c>
      <c r="D57" s="150"/>
      <c r="E57" s="150"/>
      <c r="F57" s="4" t="s">
        <v>239</v>
      </c>
      <c r="G57" s="65">
        <v>6.459</v>
      </c>
      <c r="H57" s="16">
        <v>0</v>
      </c>
      <c r="I57" s="16">
        <f>G57*AN57</f>
        <v>0</v>
      </c>
      <c r="J57" s="16">
        <f>G57*AO57</f>
        <v>0</v>
      </c>
      <c r="K57" s="16">
        <f>G57*H57</f>
        <v>0</v>
      </c>
      <c r="Y57" s="28">
        <f>IF(AP57="5",BI57,0)</f>
        <v>0</v>
      </c>
      <c r="AA57" s="28">
        <f>IF(AP57="1",BG57,0)</f>
        <v>0</v>
      </c>
      <c r="AB57" s="28">
        <f>IF(AP57="1",BH57,0)</f>
        <v>0</v>
      </c>
      <c r="AC57" s="28">
        <f>IF(AP57="7",BG57,0)</f>
        <v>0</v>
      </c>
      <c r="AD57" s="28">
        <f>IF(AP57="7",BH57,0)</f>
        <v>0</v>
      </c>
      <c r="AE57" s="28">
        <f>IF(AP57="2",BG57,0)</f>
        <v>0</v>
      </c>
      <c r="AF57" s="28">
        <f>IF(AP57="2",BH57,0)</f>
        <v>0</v>
      </c>
      <c r="AG57" s="28">
        <f>IF(AP57="0",BI57,0)</f>
        <v>0</v>
      </c>
      <c r="AH57" s="24"/>
      <c r="AI57" s="16">
        <f>IF(AM57=0,K57,0)</f>
        <v>0</v>
      </c>
      <c r="AJ57" s="16">
        <f>IF(AM57=15,K57,0)</f>
        <v>0</v>
      </c>
      <c r="AK57" s="16">
        <f>IF(AM57=21,K57,0)</f>
        <v>0</v>
      </c>
      <c r="AM57" s="28">
        <v>21</v>
      </c>
      <c r="AN57" s="28">
        <f>H57*0</f>
        <v>0</v>
      </c>
      <c r="AO57" s="28">
        <f>H57*(1-0)</f>
        <v>0</v>
      </c>
      <c r="AP57" s="23" t="s">
        <v>11</v>
      </c>
      <c r="AU57" s="28">
        <f>AV57+AW57</f>
        <v>0</v>
      </c>
      <c r="AV57" s="28">
        <f>G57*AN57</f>
        <v>0</v>
      </c>
      <c r="AW57" s="28">
        <f>G57*AO57</f>
        <v>0</v>
      </c>
      <c r="AX57" s="29" t="s">
        <v>267</v>
      </c>
      <c r="AY57" s="29" t="s">
        <v>273</v>
      </c>
      <c r="AZ57" s="24" t="s">
        <v>277</v>
      </c>
      <c r="BB57" s="28">
        <f>AV57+AW57</f>
        <v>0</v>
      </c>
      <c r="BC57" s="28">
        <f>H57/(100-BD57)*100</f>
        <v>0</v>
      </c>
      <c r="BD57" s="28">
        <v>0</v>
      </c>
      <c r="BE57" s="28">
        <f>57</f>
        <v>57</v>
      </c>
      <c r="BG57" s="16">
        <f>G57*AN57</f>
        <v>0</v>
      </c>
      <c r="BH57" s="16">
        <f>G57*AO57</f>
        <v>0</v>
      </c>
      <c r="BI57" s="16">
        <f>G57*H57</f>
        <v>0</v>
      </c>
    </row>
    <row r="58" spans="1:61" ht="12.75">
      <c r="A58" s="4" t="s">
        <v>28</v>
      </c>
      <c r="B58" s="4" t="s">
        <v>87</v>
      </c>
      <c r="C58" s="153" t="s">
        <v>173</v>
      </c>
      <c r="D58" s="150"/>
      <c r="E58" s="150"/>
      <c r="F58" s="4" t="s">
        <v>239</v>
      </c>
      <c r="G58" s="65">
        <v>6.459</v>
      </c>
      <c r="H58" s="16">
        <v>0</v>
      </c>
      <c r="I58" s="16">
        <f>G58*AN58</f>
        <v>0</v>
      </c>
      <c r="J58" s="16">
        <f>G58*AO58</f>
        <v>0</v>
      </c>
      <c r="K58" s="16">
        <f>G58*H58</f>
        <v>0</v>
      </c>
      <c r="Y58" s="28">
        <f>IF(AP58="5",BI58,0)</f>
        <v>0</v>
      </c>
      <c r="AA58" s="28">
        <f>IF(AP58="1",BG58,0)</f>
        <v>0</v>
      </c>
      <c r="AB58" s="28">
        <f>IF(AP58="1",BH58,0)</f>
        <v>0</v>
      </c>
      <c r="AC58" s="28">
        <f>IF(AP58="7",BG58,0)</f>
        <v>0</v>
      </c>
      <c r="AD58" s="28">
        <f>IF(AP58="7",BH58,0)</f>
        <v>0</v>
      </c>
      <c r="AE58" s="28">
        <f>IF(AP58="2",BG58,0)</f>
        <v>0</v>
      </c>
      <c r="AF58" s="28">
        <f>IF(AP58="2",BH58,0)</f>
        <v>0</v>
      </c>
      <c r="AG58" s="28">
        <f>IF(AP58="0",BI58,0)</f>
        <v>0</v>
      </c>
      <c r="AH58" s="24"/>
      <c r="AI58" s="16">
        <f>IF(AM58=0,K58,0)</f>
        <v>0</v>
      </c>
      <c r="AJ58" s="16">
        <f>IF(AM58=15,K58,0)</f>
        <v>0</v>
      </c>
      <c r="AK58" s="16">
        <f>IF(AM58=21,K58,0)</f>
        <v>0</v>
      </c>
      <c r="AM58" s="28">
        <v>21</v>
      </c>
      <c r="AN58" s="28">
        <f>H58*0</f>
        <v>0</v>
      </c>
      <c r="AO58" s="28">
        <f>H58*(1-0)</f>
        <v>0</v>
      </c>
      <c r="AP58" s="23" t="s">
        <v>11</v>
      </c>
      <c r="AU58" s="28">
        <f>AV58+AW58</f>
        <v>0</v>
      </c>
      <c r="AV58" s="28">
        <f>G58*AN58</f>
        <v>0</v>
      </c>
      <c r="AW58" s="28">
        <f>G58*AO58</f>
        <v>0</v>
      </c>
      <c r="AX58" s="29" t="s">
        <v>267</v>
      </c>
      <c r="AY58" s="29" t="s">
        <v>273</v>
      </c>
      <c r="AZ58" s="24" t="s">
        <v>277</v>
      </c>
      <c r="BB58" s="28">
        <f>AV58+AW58</f>
        <v>0</v>
      </c>
      <c r="BC58" s="28">
        <f>H58/(100-BD58)*100</f>
        <v>0</v>
      </c>
      <c r="BD58" s="28">
        <v>0</v>
      </c>
      <c r="BE58" s="28">
        <f>58</f>
        <v>58</v>
      </c>
      <c r="BG58" s="16">
        <f>G58*AN58</f>
        <v>0</v>
      </c>
      <c r="BH58" s="16">
        <f>G58*AO58</f>
        <v>0</v>
      </c>
      <c r="BI58" s="16">
        <f>G58*H58</f>
        <v>0</v>
      </c>
    </row>
    <row r="59" spans="1:46" ht="12.75">
      <c r="A59" s="5"/>
      <c r="B59" s="13" t="s">
        <v>88</v>
      </c>
      <c r="C59" s="155" t="s">
        <v>174</v>
      </c>
      <c r="D59" s="156"/>
      <c r="E59" s="156"/>
      <c r="F59" s="5" t="s">
        <v>6</v>
      </c>
      <c r="G59" s="5" t="s">
        <v>6</v>
      </c>
      <c r="H59" s="5" t="s">
        <v>6</v>
      </c>
      <c r="I59" s="31">
        <f>SUM(I60:I88)</f>
        <v>0</v>
      </c>
      <c r="J59" s="31">
        <f>SUM(J60:J88)</f>
        <v>0</v>
      </c>
      <c r="K59" s="31">
        <f>SUM(K60:K88)</f>
        <v>0</v>
      </c>
      <c r="AH59" s="24"/>
      <c r="AR59" s="31">
        <f>SUM(AI60:AI88)</f>
        <v>0</v>
      </c>
      <c r="AS59" s="31">
        <f>SUM(AJ60:AJ88)</f>
        <v>0</v>
      </c>
      <c r="AT59" s="31">
        <f>SUM(AK60:AK88)</f>
        <v>0</v>
      </c>
    </row>
    <row r="60" spans="1:61" ht="12.75">
      <c r="A60" s="4" t="s">
        <v>29</v>
      </c>
      <c r="B60" s="4" t="s">
        <v>89</v>
      </c>
      <c r="C60" s="153" t="s">
        <v>175</v>
      </c>
      <c r="D60" s="150"/>
      <c r="E60" s="150"/>
      <c r="F60" s="4" t="s">
        <v>237</v>
      </c>
      <c r="G60" s="65">
        <v>34</v>
      </c>
      <c r="H60" s="16">
        <v>0</v>
      </c>
      <c r="I60" s="16">
        <f>G60*AN60</f>
        <v>0</v>
      </c>
      <c r="J60" s="16">
        <f>G60*AO60</f>
        <v>0</v>
      </c>
      <c r="K60" s="16">
        <f>G60*H60</f>
        <v>0</v>
      </c>
      <c r="Y60" s="28">
        <f>IF(AP60="5",BI60,0)</f>
        <v>0</v>
      </c>
      <c r="AA60" s="28">
        <f>IF(AP60="1",BG60,0)</f>
        <v>0</v>
      </c>
      <c r="AB60" s="28">
        <f>IF(AP60="1",BH60,0)</f>
        <v>0</v>
      </c>
      <c r="AC60" s="28">
        <f>IF(AP60="7",BG60,0)</f>
        <v>0</v>
      </c>
      <c r="AD60" s="28">
        <f>IF(AP60="7",BH60,0)</f>
        <v>0</v>
      </c>
      <c r="AE60" s="28">
        <f>IF(AP60="2",BG60,0)</f>
        <v>0</v>
      </c>
      <c r="AF60" s="28">
        <f>IF(AP60="2",BH60,0)</f>
        <v>0</v>
      </c>
      <c r="AG60" s="28">
        <f>IF(AP60="0",BI60,0)</f>
        <v>0</v>
      </c>
      <c r="AH60" s="24"/>
      <c r="AI60" s="16">
        <f>IF(AM60=0,K60,0)</f>
        <v>0</v>
      </c>
      <c r="AJ60" s="16">
        <f>IF(AM60=15,K60,0)</f>
        <v>0</v>
      </c>
      <c r="AK60" s="16">
        <f>IF(AM60=21,K60,0)</f>
        <v>0</v>
      </c>
      <c r="AM60" s="28">
        <v>21</v>
      </c>
      <c r="AN60" s="28">
        <f>H60*0.438871423832167</f>
        <v>0</v>
      </c>
      <c r="AO60" s="28">
        <f>H60*(1-0.438871423832167)</f>
        <v>0</v>
      </c>
      <c r="AP60" s="23" t="s">
        <v>13</v>
      </c>
      <c r="AU60" s="28">
        <f>AV60+AW60</f>
        <v>0</v>
      </c>
      <c r="AV60" s="28">
        <f>G60*AN60</f>
        <v>0</v>
      </c>
      <c r="AW60" s="28">
        <f>G60*AO60</f>
        <v>0</v>
      </c>
      <c r="AX60" s="29" t="s">
        <v>268</v>
      </c>
      <c r="AY60" s="29" t="s">
        <v>274</v>
      </c>
      <c r="AZ60" s="24" t="s">
        <v>277</v>
      </c>
      <c r="BB60" s="28">
        <f>AV60+AW60</f>
        <v>0</v>
      </c>
      <c r="BC60" s="28">
        <f>H60/(100-BD60)*100</f>
        <v>0</v>
      </c>
      <c r="BD60" s="28">
        <v>0</v>
      </c>
      <c r="BE60" s="28">
        <f>60</f>
        <v>60</v>
      </c>
      <c r="BG60" s="16">
        <f>G60*AN60</f>
        <v>0</v>
      </c>
      <c r="BH60" s="16">
        <f>G60*AO60</f>
        <v>0</v>
      </c>
      <c r="BI60" s="16">
        <f>G60*H60</f>
        <v>0</v>
      </c>
    </row>
    <row r="61" spans="1:61" ht="12.75">
      <c r="A61" s="4" t="s">
        <v>30</v>
      </c>
      <c r="B61" s="4" t="s">
        <v>90</v>
      </c>
      <c r="C61" s="153" t="s">
        <v>176</v>
      </c>
      <c r="D61" s="150"/>
      <c r="E61" s="150"/>
      <c r="F61" s="4" t="s">
        <v>237</v>
      </c>
      <c r="G61" s="65">
        <v>2</v>
      </c>
      <c r="H61" s="16">
        <v>0</v>
      </c>
      <c r="I61" s="16">
        <f>G61*AN61</f>
        <v>0</v>
      </c>
      <c r="J61" s="16">
        <f>G61*AO61</f>
        <v>0</v>
      </c>
      <c r="K61" s="16">
        <f>G61*H61</f>
        <v>0</v>
      </c>
      <c r="Y61" s="28">
        <f>IF(AP61="5",BI61,0)</f>
        <v>0</v>
      </c>
      <c r="AA61" s="28">
        <f>IF(AP61="1",BG61,0)</f>
        <v>0</v>
      </c>
      <c r="AB61" s="28">
        <f>IF(AP61="1",BH61,0)</f>
        <v>0</v>
      </c>
      <c r="AC61" s="28">
        <f>IF(AP61="7",BG61,0)</f>
        <v>0</v>
      </c>
      <c r="AD61" s="28">
        <f>IF(AP61="7",BH61,0)</f>
        <v>0</v>
      </c>
      <c r="AE61" s="28">
        <f>IF(AP61="2",BG61,0)</f>
        <v>0</v>
      </c>
      <c r="AF61" s="28">
        <f>IF(AP61="2",BH61,0)</f>
        <v>0</v>
      </c>
      <c r="AG61" s="28">
        <f>IF(AP61="0",BI61,0)</f>
        <v>0</v>
      </c>
      <c r="AH61" s="24"/>
      <c r="AI61" s="16">
        <f>IF(AM61=0,K61,0)</f>
        <v>0</v>
      </c>
      <c r="AJ61" s="16">
        <f>IF(AM61=15,K61,0)</f>
        <v>0</v>
      </c>
      <c r="AK61" s="16">
        <f>IF(AM61=21,K61,0)</f>
        <v>0</v>
      </c>
      <c r="AM61" s="28">
        <v>21</v>
      </c>
      <c r="AN61" s="28">
        <f>H61*0.492872180451128</f>
        <v>0</v>
      </c>
      <c r="AO61" s="28">
        <f>H61*(1-0.492872180451128)</f>
        <v>0</v>
      </c>
      <c r="AP61" s="23" t="s">
        <v>13</v>
      </c>
      <c r="AU61" s="28">
        <f>AV61+AW61</f>
        <v>0</v>
      </c>
      <c r="AV61" s="28">
        <f>G61*AN61</f>
        <v>0</v>
      </c>
      <c r="AW61" s="28">
        <f>G61*AO61</f>
        <v>0</v>
      </c>
      <c r="AX61" s="29" t="s">
        <v>268</v>
      </c>
      <c r="AY61" s="29" t="s">
        <v>274</v>
      </c>
      <c r="AZ61" s="24" t="s">
        <v>277</v>
      </c>
      <c r="BB61" s="28">
        <f>AV61+AW61</f>
        <v>0</v>
      </c>
      <c r="BC61" s="28">
        <f>H61/(100-BD61)*100</f>
        <v>0</v>
      </c>
      <c r="BD61" s="28">
        <v>0</v>
      </c>
      <c r="BE61" s="28">
        <f>61</f>
        <v>61</v>
      </c>
      <c r="BG61" s="16">
        <f>G61*AN61</f>
        <v>0</v>
      </c>
      <c r="BH61" s="16">
        <f>G61*AO61</f>
        <v>0</v>
      </c>
      <c r="BI61" s="16">
        <f>G61*H61</f>
        <v>0</v>
      </c>
    </row>
    <row r="62" spans="1:61" ht="12.75">
      <c r="A62" s="4" t="s">
        <v>31</v>
      </c>
      <c r="B62" s="4" t="s">
        <v>91</v>
      </c>
      <c r="C62" s="153" t="s">
        <v>177</v>
      </c>
      <c r="D62" s="150"/>
      <c r="E62" s="150"/>
      <c r="F62" s="4" t="s">
        <v>237</v>
      </c>
      <c r="G62" s="65">
        <v>6</v>
      </c>
      <c r="H62" s="16">
        <v>0</v>
      </c>
      <c r="I62" s="16">
        <f>G62*AN62</f>
        <v>0</v>
      </c>
      <c r="J62" s="16">
        <f>G62*AO62</f>
        <v>0</v>
      </c>
      <c r="K62" s="16">
        <f>G62*H62</f>
        <v>0</v>
      </c>
      <c r="Y62" s="28">
        <f>IF(AP62="5",BI62,0)</f>
        <v>0</v>
      </c>
      <c r="AA62" s="28">
        <f>IF(AP62="1",BG62,0)</f>
        <v>0</v>
      </c>
      <c r="AB62" s="28">
        <f>IF(AP62="1",BH62,0)</f>
        <v>0</v>
      </c>
      <c r="AC62" s="28">
        <f>IF(AP62="7",BG62,0)</f>
        <v>0</v>
      </c>
      <c r="AD62" s="28">
        <f>IF(AP62="7",BH62,0)</f>
        <v>0</v>
      </c>
      <c r="AE62" s="28">
        <f>IF(AP62="2",BG62,0)</f>
        <v>0</v>
      </c>
      <c r="AF62" s="28">
        <f>IF(AP62="2",BH62,0)</f>
        <v>0</v>
      </c>
      <c r="AG62" s="28">
        <f>IF(AP62="0",BI62,0)</f>
        <v>0</v>
      </c>
      <c r="AH62" s="24"/>
      <c r="AI62" s="16">
        <f>IF(AM62=0,K62,0)</f>
        <v>0</v>
      </c>
      <c r="AJ62" s="16">
        <f>IF(AM62=15,K62,0)</f>
        <v>0</v>
      </c>
      <c r="AK62" s="16">
        <f>IF(AM62=21,K62,0)</f>
        <v>0</v>
      </c>
      <c r="AM62" s="28">
        <v>21</v>
      </c>
      <c r="AN62" s="28">
        <f>H62*0.539692645444566</f>
        <v>0</v>
      </c>
      <c r="AO62" s="28">
        <f>H62*(1-0.539692645444566)</f>
        <v>0</v>
      </c>
      <c r="AP62" s="23" t="s">
        <v>13</v>
      </c>
      <c r="AU62" s="28">
        <f>AV62+AW62</f>
        <v>0</v>
      </c>
      <c r="AV62" s="28">
        <f>G62*AN62</f>
        <v>0</v>
      </c>
      <c r="AW62" s="28">
        <f>G62*AO62</f>
        <v>0</v>
      </c>
      <c r="AX62" s="29" t="s">
        <v>268</v>
      </c>
      <c r="AY62" s="29" t="s">
        <v>274</v>
      </c>
      <c r="AZ62" s="24" t="s">
        <v>277</v>
      </c>
      <c r="BB62" s="28">
        <f>AV62+AW62</f>
        <v>0</v>
      </c>
      <c r="BC62" s="28">
        <f>H62/(100-BD62)*100</f>
        <v>0</v>
      </c>
      <c r="BD62" s="28">
        <v>0</v>
      </c>
      <c r="BE62" s="28">
        <f>62</f>
        <v>62</v>
      </c>
      <c r="BG62" s="16">
        <f>G62*AN62</f>
        <v>0</v>
      </c>
      <c r="BH62" s="16">
        <f>G62*AO62</f>
        <v>0</v>
      </c>
      <c r="BI62" s="16">
        <f>G62*H62</f>
        <v>0</v>
      </c>
    </row>
    <row r="63" spans="1:61" ht="12.75">
      <c r="A63" s="4" t="s">
        <v>32</v>
      </c>
      <c r="B63" s="4" t="s">
        <v>92</v>
      </c>
      <c r="C63" s="153" t="s">
        <v>178</v>
      </c>
      <c r="D63" s="150"/>
      <c r="E63" s="150"/>
      <c r="F63" s="4" t="s">
        <v>237</v>
      </c>
      <c r="G63" s="65">
        <v>81</v>
      </c>
      <c r="H63" s="16">
        <v>0</v>
      </c>
      <c r="I63" s="16">
        <f>G63*AN63</f>
        <v>0</v>
      </c>
      <c r="J63" s="16">
        <f>G63*AO63</f>
        <v>0</v>
      </c>
      <c r="K63" s="16">
        <f>G63*H63</f>
        <v>0</v>
      </c>
      <c r="Y63" s="28">
        <f>IF(AP63="5",BI63,0)</f>
        <v>0</v>
      </c>
      <c r="AA63" s="28">
        <f>IF(AP63="1",BG63,0)</f>
        <v>0</v>
      </c>
      <c r="AB63" s="28">
        <f>IF(AP63="1",BH63,0)</f>
        <v>0</v>
      </c>
      <c r="AC63" s="28">
        <f>IF(AP63="7",BG63,0)</f>
        <v>0</v>
      </c>
      <c r="AD63" s="28">
        <f>IF(AP63="7",BH63,0)</f>
        <v>0</v>
      </c>
      <c r="AE63" s="28">
        <f>IF(AP63="2",BG63,0)</f>
        <v>0</v>
      </c>
      <c r="AF63" s="28">
        <f>IF(AP63="2",BH63,0)</f>
        <v>0</v>
      </c>
      <c r="AG63" s="28">
        <f>IF(AP63="0",BI63,0)</f>
        <v>0</v>
      </c>
      <c r="AH63" s="24"/>
      <c r="AI63" s="16">
        <f>IF(AM63=0,K63,0)</f>
        <v>0</v>
      </c>
      <c r="AJ63" s="16">
        <f>IF(AM63=15,K63,0)</f>
        <v>0</v>
      </c>
      <c r="AK63" s="16">
        <f>IF(AM63=21,K63,0)</f>
        <v>0</v>
      </c>
      <c r="AM63" s="28">
        <v>21</v>
      </c>
      <c r="AN63" s="28">
        <f>H63*0.612868352223191</f>
        <v>0</v>
      </c>
      <c r="AO63" s="28">
        <f>H63*(1-0.612868352223191)</f>
        <v>0</v>
      </c>
      <c r="AP63" s="23" t="s">
        <v>13</v>
      </c>
      <c r="AU63" s="28">
        <f>AV63+AW63</f>
        <v>0</v>
      </c>
      <c r="AV63" s="28">
        <f>G63*AN63</f>
        <v>0</v>
      </c>
      <c r="AW63" s="28">
        <f>G63*AO63</f>
        <v>0</v>
      </c>
      <c r="AX63" s="29" t="s">
        <v>268</v>
      </c>
      <c r="AY63" s="29" t="s">
        <v>274</v>
      </c>
      <c r="AZ63" s="24" t="s">
        <v>277</v>
      </c>
      <c r="BB63" s="28">
        <f>AV63+AW63</f>
        <v>0</v>
      </c>
      <c r="BC63" s="28">
        <f>H63/(100-BD63)*100</f>
        <v>0</v>
      </c>
      <c r="BD63" s="28">
        <v>0</v>
      </c>
      <c r="BE63" s="28">
        <f>63</f>
        <v>63</v>
      </c>
      <c r="BG63" s="16">
        <f>G63*AN63</f>
        <v>0</v>
      </c>
      <c r="BH63" s="16">
        <f>G63*AO63</f>
        <v>0</v>
      </c>
      <c r="BI63" s="16">
        <f>G63*H63</f>
        <v>0</v>
      </c>
    </row>
    <row r="64" spans="1:61" ht="12.75">
      <c r="A64" s="4" t="s">
        <v>33</v>
      </c>
      <c r="B64" s="4" t="s">
        <v>93</v>
      </c>
      <c r="C64" s="153" t="s">
        <v>179</v>
      </c>
      <c r="D64" s="150"/>
      <c r="E64" s="150"/>
      <c r="F64" s="4" t="s">
        <v>237</v>
      </c>
      <c r="G64" s="65">
        <v>83</v>
      </c>
      <c r="H64" s="16">
        <v>0</v>
      </c>
      <c r="I64" s="16">
        <f>G64*AN64</f>
        <v>0</v>
      </c>
      <c r="J64" s="16">
        <f>G64*AO64</f>
        <v>0</v>
      </c>
      <c r="K64" s="16">
        <f>G64*H64</f>
        <v>0</v>
      </c>
      <c r="Y64" s="28">
        <f>IF(AP64="5",BI64,0)</f>
        <v>0</v>
      </c>
      <c r="AA64" s="28">
        <f>IF(AP64="1",BG64,0)</f>
        <v>0</v>
      </c>
      <c r="AB64" s="28">
        <f>IF(AP64="1",BH64,0)</f>
        <v>0</v>
      </c>
      <c r="AC64" s="28">
        <f>IF(AP64="7",BG64,0)</f>
        <v>0</v>
      </c>
      <c r="AD64" s="28">
        <f>IF(AP64="7",BH64,0)</f>
        <v>0</v>
      </c>
      <c r="AE64" s="28">
        <f>IF(AP64="2",BG64,0)</f>
        <v>0</v>
      </c>
      <c r="AF64" s="28">
        <f>IF(AP64="2",BH64,0)</f>
        <v>0</v>
      </c>
      <c r="AG64" s="28">
        <f>IF(AP64="0",BI64,0)</f>
        <v>0</v>
      </c>
      <c r="AH64" s="24"/>
      <c r="AI64" s="16">
        <f>IF(AM64=0,K64,0)</f>
        <v>0</v>
      </c>
      <c r="AJ64" s="16">
        <f>IF(AM64=15,K64,0)</f>
        <v>0</v>
      </c>
      <c r="AK64" s="16">
        <f>IF(AM64=21,K64,0)</f>
        <v>0</v>
      </c>
      <c r="AM64" s="28">
        <v>21</v>
      </c>
      <c r="AN64" s="28">
        <f>H64*0.364228723404255</f>
        <v>0</v>
      </c>
      <c r="AO64" s="28">
        <f>H64*(1-0.364228723404255)</f>
        <v>0</v>
      </c>
      <c r="AP64" s="23" t="s">
        <v>13</v>
      </c>
      <c r="AU64" s="28">
        <f>AV64+AW64</f>
        <v>0</v>
      </c>
      <c r="AV64" s="28">
        <f>G64*AN64</f>
        <v>0</v>
      </c>
      <c r="AW64" s="28">
        <f>G64*AO64</f>
        <v>0</v>
      </c>
      <c r="AX64" s="29" t="s">
        <v>268</v>
      </c>
      <c r="AY64" s="29" t="s">
        <v>274</v>
      </c>
      <c r="AZ64" s="24" t="s">
        <v>277</v>
      </c>
      <c r="BB64" s="28">
        <f>AV64+AW64</f>
        <v>0</v>
      </c>
      <c r="BC64" s="28">
        <f>H64/(100-BD64)*100</f>
        <v>0</v>
      </c>
      <c r="BD64" s="28">
        <v>0</v>
      </c>
      <c r="BE64" s="28">
        <f>64</f>
        <v>64</v>
      </c>
      <c r="BG64" s="16">
        <f>G64*AN64</f>
        <v>0</v>
      </c>
      <c r="BH64" s="16">
        <f>G64*AO64</f>
        <v>0</v>
      </c>
      <c r="BI64" s="16">
        <f>G64*H64</f>
        <v>0</v>
      </c>
    </row>
    <row r="65" spans="3:5" ht="12.75">
      <c r="C65" s="151" t="s">
        <v>180</v>
      </c>
      <c r="D65" s="152"/>
      <c r="E65" s="152"/>
    </row>
    <row r="66" spans="1:61" ht="12.75">
      <c r="A66" s="4" t="s">
        <v>34</v>
      </c>
      <c r="B66" s="4" t="s">
        <v>94</v>
      </c>
      <c r="C66" s="153" t="s">
        <v>181</v>
      </c>
      <c r="D66" s="150"/>
      <c r="E66" s="150"/>
      <c r="F66" s="4" t="s">
        <v>237</v>
      </c>
      <c r="G66" s="65">
        <v>88.5</v>
      </c>
      <c r="H66" s="16">
        <v>0</v>
      </c>
      <c r="I66" s="16">
        <f>G66*AN66</f>
        <v>0</v>
      </c>
      <c r="J66" s="16">
        <f>G66*AO66</f>
        <v>0</v>
      </c>
      <c r="K66" s="16">
        <f>G66*H66</f>
        <v>0</v>
      </c>
      <c r="Y66" s="28">
        <f>IF(AP66="5",BI66,0)</f>
        <v>0</v>
      </c>
      <c r="AA66" s="28">
        <f>IF(AP66="1",BG66,0)</f>
        <v>0</v>
      </c>
      <c r="AB66" s="28">
        <f>IF(AP66="1",BH66,0)</f>
        <v>0</v>
      </c>
      <c r="AC66" s="28">
        <f>IF(AP66="7",BG66,0)</f>
        <v>0</v>
      </c>
      <c r="AD66" s="28">
        <f>IF(AP66="7",BH66,0)</f>
        <v>0</v>
      </c>
      <c r="AE66" s="28">
        <f>IF(AP66="2",BG66,0)</f>
        <v>0</v>
      </c>
      <c r="AF66" s="28">
        <f>IF(AP66="2",BH66,0)</f>
        <v>0</v>
      </c>
      <c r="AG66" s="28">
        <f>IF(AP66="0",BI66,0)</f>
        <v>0</v>
      </c>
      <c r="AH66" s="24"/>
      <c r="AI66" s="16">
        <f>IF(AM66=0,K66,0)</f>
        <v>0</v>
      </c>
      <c r="AJ66" s="16">
        <f>IF(AM66=15,K66,0)</f>
        <v>0</v>
      </c>
      <c r="AK66" s="16">
        <f>IF(AM66=21,K66,0)</f>
        <v>0</v>
      </c>
      <c r="AM66" s="28">
        <v>21</v>
      </c>
      <c r="AN66" s="28">
        <f>H66*0.419315973733591</f>
        <v>0</v>
      </c>
      <c r="AO66" s="28">
        <f>H66*(1-0.419315973733591)</f>
        <v>0</v>
      </c>
      <c r="AP66" s="23" t="s">
        <v>13</v>
      </c>
      <c r="AU66" s="28">
        <f>AV66+AW66</f>
        <v>0</v>
      </c>
      <c r="AV66" s="28">
        <f>G66*AN66</f>
        <v>0</v>
      </c>
      <c r="AW66" s="28">
        <f>G66*AO66</f>
        <v>0</v>
      </c>
      <c r="AX66" s="29" t="s">
        <v>268</v>
      </c>
      <c r="AY66" s="29" t="s">
        <v>274</v>
      </c>
      <c r="AZ66" s="24" t="s">
        <v>277</v>
      </c>
      <c r="BB66" s="28">
        <f>AV66+AW66</f>
        <v>0</v>
      </c>
      <c r="BC66" s="28">
        <f>H66/(100-BD66)*100</f>
        <v>0</v>
      </c>
      <c r="BD66" s="28">
        <v>0</v>
      </c>
      <c r="BE66" s="28">
        <f>66</f>
        <v>66</v>
      </c>
      <c r="BG66" s="16">
        <f>G66*AN66</f>
        <v>0</v>
      </c>
      <c r="BH66" s="16">
        <f>G66*AO66</f>
        <v>0</v>
      </c>
      <c r="BI66" s="16">
        <f>G66*H66</f>
        <v>0</v>
      </c>
    </row>
    <row r="67" spans="3:5" ht="12.75">
      <c r="C67" s="151" t="s">
        <v>182</v>
      </c>
      <c r="D67" s="152"/>
      <c r="E67" s="152"/>
    </row>
    <row r="68" spans="1:61" ht="12.75">
      <c r="A68" s="4" t="s">
        <v>35</v>
      </c>
      <c r="B68" s="4" t="s">
        <v>95</v>
      </c>
      <c r="C68" s="153" t="s">
        <v>181</v>
      </c>
      <c r="D68" s="150"/>
      <c r="E68" s="150"/>
      <c r="F68" s="4" t="s">
        <v>237</v>
      </c>
      <c r="G68" s="65">
        <v>6</v>
      </c>
      <c r="H68" s="16">
        <v>0</v>
      </c>
      <c r="I68" s="16">
        <f>G68*AN68</f>
        <v>0</v>
      </c>
      <c r="J68" s="16">
        <f>G68*AO68</f>
        <v>0</v>
      </c>
      <c r="K68" s="16">
        <f>G68*H68</f>
        <v>0</v>
      </c>
      <c r="Y68" s="28">
        <f>IF(AP68="5",BI68,0)</f>
        <v>0</v>
      </c>
      <c r="AA68" s="28">
        <f>IF(AP68="1",BG68,0)</f>
        <v>0</v>
      </c>
      <c r="AB68" s="28">
        <f>IF(AP68="1",BH68,0)</f>
        <v>0</v>
      </c>
      <c r="AC68" s="28">
        <f>IF(AP68="7",BG68,0)</f>
        <v>0</v>
      </c>
      <c r="AD68" s="28">
        <f>IF(AP68="7",BH68,0)</f>
        <v>0</v>
      </c>
      <c r="AE68" s="28">
        <f>IF(AP68="2",BG68,0)</f>
        <v>0</v>
      </c>
      <c r="AF68" s="28">
        <f>IF(AP68="2",BH68,0)</f>
        <v>0</v>
      </c>
      <c r="AG68" s="28">
        <f>IF(AP68="0",BI68,0)</f>
        <v>0</v>
      </c>
      <c r="AH68" s="24"/>
      <c r="AI68" s="16">
        <f>IF(AM68=0,K68,0)</f>
        <v>0</v>
      </c>
      <c r="AJ68" s="16">
        <f>IF(AM68=15,K68,0)</f>
        <v>0</v>
      </c>
      <c r="AK68" s="16">
        <f>IF(AM68=21,K68,0)</f>
        <v>0</v>
      </c>
      <c r="AM68" s="28">
        <v>21</v>
      </c>
      <c r="AN68" s="28">
        <f>H68*0.450962962962963</f>
        <v>0</v>
      </c>
      <c r="AO68" s="28">
        <f>H68*(1-0.450962962962963)</f>
        <v>0</v>
      </c>
      <c r="AP68" s="23" t="s">
        <v>13</v>
      </c>
      <c r="AU68" s="28">
        <f>AV68+AW68</f>
        <v>0</v>
      </c>
      <c r="AV68" s="28">
        <f>G68*AN68</f>
        <v>0</v>
      </c>
      <c r="AW68" s="28">
        <f>G68*AO68</f>
        <v>0</v>
      </c>
      <c r="AX68" s="29" t="s">
        <v>268</v>
      </c>
      <c r="AY68" s="29" t="s">
        <v>274</v>
      </c>
      <c r="AZ68" s="24" t="s">
        <v>277</v>
      </c>
      <c r="BB68" s="28">
        <f>AV68+AW68</f>
        <v>0</v>
      </c>
      <c r="BC68" s="28">
        <f>H68/(100-BD68)*100</f>
        <v>0</v>
      </c>
      <c r="BD68" s="28">
        <v>0</v>
      </c>
      <c r="BE68" s="28">
        <f>68</f>
        <v>68</v>
      </c>
      <c r="BG68" s="16">
        <f>G68*AN68</f>
        <v>0</v>
      </c>
      <c r="BH68" s="16">
        <f>G68*AO68</f>
        <v>0</v>
      </c>
      <c r="BI68" s="16">
        <f>G68*H68</f>
        <v>0</v>
      </c>
    </row>
    <row r="69" spans="3:5" ht="12.75">
      <c r="C69" s="151" t="s">
        <v>183</v>
      </c>
      <c r="D69" s="152"/>
      <c r="E69" s="152"/>
    </row>
    <row r="70" spans="1:61" ht="12.75">
      <c r="A70" s="4" t="s">
        <v>36</v>
      </c>
      <c r="B70" s="4" t="s">
        <v>96</v>
      </c>
      <c r="C70" s="153" t="s">
        <v>179</v>
      </c>
      <c r="D70" s="150"/>
      <c r="E70" s="150"/>
      <c r="F70" s="4" t="s">
        <v>237</v>
      </c>
      <c r="G70" s="65">
        <v>81</v>
      </c>
      <c r="H70" s="16">
        <v>0</v>
      </c>
      <c r="I70" s="16">
        <f>G70*AN70</f>
        <v>0</v>
      </c>
      <c r="J70" s="16">
        <f>G70*AO70</f>
        <v>0</v>
      </c>
      <c r="K70" s="16">
        <f>G70*H70</f>
        <v>0</v>
      </c>
      <c r="Y70" s="28">
        <f>IF(AP70="5",BI70,0)</f>
        <v>0</v>
      </c>
      <c r="AA70" s="28">
        <f>IF(AP70="1",BG70,0)</f>
        <v>0</v>
      </c>
      <c r="AB70" s="28">
        <f>IF(AP70="1",BH70,0)</f>
        <v>0</v>
      </c>
      <c r="AC70" s="28">
        <f>IF(AP70="7",BG70,0)</f>
        <v>0</v>
      </c>
      <c r="AD70" s="28">
        <f>IF(AP70="7",BH70,0)</f>
        <v>0</v>
      </c>
      <c r="AE70" s="28">
        <f>IF(AP70="2",BG70,0)</f>
        <v>0</v>
      </c>
      <c r="AF70" s="28">
        <f>IF(AP70="2",BH70,0)</f>
        <v>0</v>
      </c>
      <c r="AG70" s="28">
        <f>IF(AP70="0",BI70,0)</f>
        <v>0</v>
      </c>
      <c r="AH70" s="24"/>
      <c r="AI70" s="16">
        <f>IF(AM70=0,K70,0)</f>
        <v>0</v>
      </c>
      <c r="AJ70" s="16">
        <f>IF(AM70=15,K70,0)</f>
        <v>0</v>
      </c>
      <c r="AK70" s="16">
        <f>IF(AM70=21,K70,0)</f>
        <v>0</v>
      </c>
      <c r="AM70" s="28">
        <v>21</v>
      </c>
      <c r="AN70" s="28">
        <f>H70*0.553759213759214</f>
        <v>0</v>
      </c>
      <c r="AO70" s="28">
        <f>H70*(1-0.553759213759214)</f>
        <v>0</v>
      </c>
      <c r="AP70" s="23" t="s">
        <v>13</v>
      </c>
      <c r="AU70" s="28">
        <f>AV70+AW70</f>
        <v>0</v>
      </c>
      <c r="AV70" s="28">
        <f>G70*AN70</f>
        <v>0</v>
      </c>
      <c r="AW70" s="28">
        <f>G70*AO70</f>
        <v>0</v>
      </c>
      <c r="AX70" s="29" t="s">
        <v>268</v>
      </c>
      <c r="AY70" s="29" t="s">
        <v>274</v>
      </c>
      <c r="AZ70" s="24" t="s">
        <v>277</v>
      </c>
      <c r="BB70" s="28">
        <f>AV70+AW70</f>
        <v>0</v>
      </c>
      <c r="BC70" s="28">
        <f>H70/(100-BD70)*100</f>
        <v>0</v>
      </c>
      <c r="BD70" s="28">
        <v>0</v>
      </c>
      <c r="BE70" s="28">
        <f>70</f>
        <v>70</v>
      </c>
      <c r="BG70" s="16">
        <f>G70*AN70</f>
        <v>0</v>
      </c>
      <c r="BH70" s="16">
        <f>G70*AO70</f>
        <v>0</v>
      </c>
      <c r="BI70" s="16">
        <f>G70*H70</f>
        <v>0</v>
      </c>
    </row>
    <row r="71" spans="3:5" ht="12.75">
      <c r="C71" s="151" t="s">
        <v>184</v>
      </c>
      <c r="D71" s="152"/>
      <c r="E71" s="152"/>
    </row>
    <row r="72" spans="1:61" ht="12.75">
      <c r="A72" s="4" t="s">
        <v>37</v>
      </c>
      <c r="B72" s="4" t="s">
        <v>97</v>
      </c>
      <c r="C72" s="153" t="s">
        <v>185</v>
      </c>
      <c r="D72" s="150"/>
      <c r="E72" s="150"/>
      <c r="F72" s="4" t="s">
        <v>237</v>
      </c>
      <c r="G72" s="65">
        <v>81</v>
      </c>
      <c r="H72" s="16">
        <v>0</v>
      </c>
      <c r="I72" s="16">
        <f aca="true" t="shared" si="0" ref="I72:I88">G72*AN72</f>
        <v>0</v>
      </c>
      <c r="J72" s="16">
        <f aca="true" t="shared" si="1" ref="J72:J88">G72*AO72</f>
        <v>0</v>
      </c>
      <c r="K72" s="16">
        <f aca="true" t="shared" si="2" ref="K72:K88">G72*H72</f>
        <v>0</v>
      </c>
      <c r="Y72" s="28">
        <f aca="true" t="shared" si="3" ref="Y72:Y88">IF(AP72="5",BI72,0)</f>
        <v>0</v>
      </c>
      <c r="AA72" s="28">
        <f aca="true" t="shared" si="4" ref="AA72:AA88">IF(AP72="1",BG72,0)</f>
        <v>0</v>
      </c>
      <c r="AB72" s="28">
        <f aca="true" t="shared" si="5" ref="AB72:AB88">IF(AP72="1",BH72,0)</f>
        <v>0</v>
      </c>
      <c r="AC72" s="28">
        <f aca="true" t="shared" si="6" ref="AC72:AC88">IF(AP72="7",BG72,0)</f>
        <v>0</v>
      </c>
      <c r="AD72" s="28">
        <f aca="true" t="shared" si="7" ref="AD72:AD88">IF(AP72="7",BH72,0)</f>
        <v>0</v>
      </c>
      <c r="AE72" s="28">
        <f aca="true" t="shared" si="8" ref="AE72:AE88">IF(AP72="2",BG72,0)</f>
        <v>0</v>
      </c>
      <c r="AF72" s="28">
        <f aca="true" t="shared" si="9" ref="AF72:AF88">IF(AP72="2",BH72,0)</f>
        <v>0</v>
      </c>
      <c r="AG72" s="28">
        <f aca="true" t="shared" si="10" ref="AG72:AG88">IF(AP72="0",BI72,0)</f>
        <v>0</v>
      </c>
      <c r="AH72" s="24"/>
      <c r="AI72" s="16">
        <f aca="true" t="shared" si="11" ref="AI72:AI88">IF(AM72=0,K72,0)</f>
        <v>0</v>
      </c>
      <c r="AJ72" s="16">
        <f aca="true" t="shared" si="12" ref="AJ72:AJ88">IF(AM72=15,K72,0)</f>
        <v>0</v>
      </c>
      <c r="AK72" s="16">
        <f aca="true" t="shared" si="13" ref="AK72:AK88">IF(AM72=21,K72,0)</f>
        <v>0</v>
      </c>
      <c r="AM72" s="28">
        <v>21</v>
      </c>
      <c r="AN72" s="28">
        <f>H72*0.211428571428571</f>
        <v>0</v>
      </c>
      <c r="AO72" s="28">
        <f>H72*(1-0.211428571428571)</f>
        <v>0</v>
      </c>
      <c r="AP72" s="23" t="s">
        <v>13</v>
      </c>
      <c r="AU72" s="28">
        <f aca="true" t="shared" si="14" ref="AU72:AU88">AV72+AW72</f>
        <v>0</v>
      </c>
      <c r="AV72" s="28">
        <f aca="true" t="shared" si="15" ref="AV72:AV88">G72*AN72</f>
        <v>0</v>
      </c>
      <c r="AW72" s="28">
        <f aca="true" t="shared" si="16" ref="AW72:AW88">G72*AO72</f>
        <v>0</v>
      </c>
      <c r="AX72" s="29" t="s">
        <v>268</v>
      </c>
      <c r="AY72" s="29" t="s">
        <v>274</v>
      </c>
      <c r="AZ72" s="24" t="s">
        <v>277</v>
      </c>
      <c r="BB72" s="28">
        <f aca="true" t="shared" si="17" ref="BB72:BB88">AV72+AW72</f>
        <v>0</v>
      </c>
      <c r="BC72" s="28">
        <f aca="true" t="shared" si="18" ref="BC72:BC88">H72/(100-BD72)*100</f>
        <v>0</v>
      </c>
      <c r="BD72" s="28">
        <v>0</v>
      </c>
      <c r="BE72" s="28">
        <f>72</f>
        <v>72</v>
      </c>
      <c r="BG72" s="16">
        <f aca="true" t="shared" si="19" ref="BG72:BG88">G72*AN72</f>
        <v>0</v>
      </c>
      <c r="BH72" s="16">
        <f aca="true" t="shared" si="20" ref="BH72:BH88">G72*AO72</f>
        <v>0</v>
      </c>
      <c r="BI72" s="16">
        <f aca="true" t="shared" si="21" ref="BI72:BI88">G72*H72</f>
        <v>0</v>
      </c>
    </row>
    <row r="73" spans="1:61" ht="12.75">
      <c r="A73" s="4" t="s">
        <v>38</v>
      </c>
      <c r="B73" s="4" t="s">
        <v>98</v>
      </c>
      <c r="C73" s="153" t="s">
        <v>186</v>
      </c>
      <c r="D73" s="150"/>
      <c r="E73" s="150"/>
      <c r="F73" s="4" t="s">
        <v>237</v>
      </c>
      <c r="G73" s="65">
        <v>177.5</v>
      </c>
      <c r="H73" s="16">
        <v>0</v>
      </c>
      <c r="I73" s="16">
        <f t="shared" si="0"/>
        <v>0</v>
      </c>
      <c r="J73" s="16">
        <f t="shared" si="1"/>
        <v>0</v>
      </c>
      <c r="K73" s="16">
        <f t="shared" si="2"/>
        <v>0</v>
      </c>
      <c r="Y73" s="28">
        <f t="shared" si="3"/>
        <v>0</v>
      </c>
      <c r="AA73" s="28">
        <f t="shared" si="4"/>
        <v>0</v>
      </c>
      <c r="AB73" s="28">
        <f t="shared" si="5"/>
        <v>0</v>
      </c>
      <c r="AC73" s="28">
        <f t="shared" si="6"/>
        <v>0</v>
      </c>
      <c r="AD73" s="28">
        <f t="shared" si="7"/>
        <v>0</v>
      </c>
      <c r="AE73" s="28">
        <f t="shared" si="8"/>
        <v>0</v>
      </c>
      <c r="AF73" s="28">
        <f t="shared" si="9"/>
        <v>0</v>
      </c>
      <c r="AG73" s="28">
        <f t="shared" si="10"/>
        <v>0</v>
      </c>
      <c r="AH73" s="24"/>
      <c r="AI73" s="16">
        <f t="shared" si="11"/>
        <v>0</v>
      </c>
      <c r="AJ73" s="16">
        <f t="shared" si="12"/>
        <v>0</v>
      </c>
      <c r="AK73" s="16">
        <f t="shared" si="13"/>
        <v>0</v>
      </c>
      <c r="AM73" s="28">
        <v>21</v>
      </c>
      <c r="AN73" s="28">
        <f>H73*0.207343614832903</f>
        <v>0</v>
      </c>
      <c r="AO73" s="28">
        <f>H73*(1-0.207343614832903)</f>
        <v>0</v>
      </c>
      <c r="AP73" s="23" t="s">
        <v>13</v>
      </c>
      <c r="AU73" s="28">
        <f t="shared" si="14"/>
        <v>0</v>
      </c>
      <c r="AV73" s="28">
        <f t="shared" si="15"/>
        <v>0</v>
      </c>
      <c r="AW73" s="28">
        <f t="shared" si="16"/>
        <v>0</v>
      </c>
      <c r="AX73" s="29" t="s">
        <v>268</v>
      </c>
      <c r="AY73" s="29" t="s">
        <v>274</v>
      </c>
      <c r="AZ73" s="24" t="s">
        <v>277</v>
      </c>
      <c r="BB73" s="28">
        <f t="shared" si="17"/>
        <v>0</v>
      </c>
      <c r="BC73" s="28">
        <f t="shared" si="18"/>
        <v>0</v>
      </c>
      <c r="BD73" s="28">
        <v>0</v>
      </c>
      <c r="BE73" s="28">
        <f>73</f>
        <v>73</v>
      </c>
      <c r="BG73" s="16">
        <f t="shared" si="19"/>
        <v>0</v>
      </c>
      <c r="BH73" s="16">
        <f t="shared" si="20"/>
        <v>0</v>
      </c>
      <c r="BI73" s="16">
        <f t="shared" si="21"/>
        <v>0</v>
      </c>
    </row>
    <row r="74" spans="1:61" ht="12.75">
      <c r="A74" s="4" t="s">
        <v>39</v>
      </c>
      <c r="B74" s="4" t="s">
        <v>99</v>
      </c>
      <c r="C74" s="153" t="s">
        <v>187</v>
      </c>
      <c r="D74" s="150"/>
      <c r="E74" s="150"/>
      <c r="F74" s="4" t="s">
        <v>237</v>
      </c>
      <c r="G74" s="65">
        <v>258.5</v>
      </c>
      <c r="H74" s="16">
        <v>0</v>
      </c>
      <c r="I74" s="16">
        <f t="shared" si="0"/>
        <v>0</v>
      </c>
      <c r="J74" s="16">
        <f t="shared" si="1"/>
        <v>0</v>
      </c>
      <c r="K74" s="16">
        <f t="shared" si="2"/>
        <v>0</v>
      </c>
      <c r="Y74" s="28">
        <f t="shared" si="3"/>
        <v>0</v>
      </c>
      <c r="AA74" s="28">
        <f t="shared" si="4"/>
        <v>0</v>
      </c>
      <c r="AB74" s="28">
        <f t="shared" si="5"/>
        <v>0</v>
      </c>
      <c r="AC74" s="28">
        <f t="shared" si="6"/>
        <v>0</v>
      </c>
      <c r="AD74" s="28">
        <f t="shared" si="7"/>
        <v>0</v>
      </c>
      <c r="AE74" s="28">
        <f t="shared" si="8"/>
        <v>0</v>
      </c>
      <c r="AF74" s="28">
        <f t="shared" si="9"/>
        <v>0</v>
      </c>
      <c r="AG74" s="28">
        <f t="shared" si="10"/>
        <v>0</v>
      </c>
      <c r="AH74" s="24"/>
      <c r="AI74" s="16">
        <f t="shared" si="11"/>
        <v>0</v>
      </c>
      <c r="AJ74" s="16">
        <f t="shared" si="12"/>
        <v>0</v>
      </c>
      <c r="AK74" s="16">
        <f t="shared" si="13"/>
        <v>0</v>
      </c>
      <c r="AM74" s="28">
        <v>21</v>
      </c>
      <c r="AN74" s="28">
        <f>H74*0.0535055350553506</f>
        <v>0</v>
      </c>
      <c r="AO74" s="28">
        <f>H74*(1-0.0535055350553506)</f>
        <v>0</v>
      </c>
      <c r="AP74" s="23" t="s">
        <v>13</v>
      </c>
      <c r="AU74" s="28">
        <f t="shared" si="14"/>
        <v>0</v>
      </c>
      <c r="AV74" s="28">
        <f t="shared" si="15"/>
        <v>0</v>
      </c>
      <c r="AW74" s="28">
        <f t="shared" si="16"/>
        <v>0</v>
      </c>
      <c r="AX74" s="29" t="s">
        <v>268</v>
      </c>
      <c r="AY74" s="29" t="s">
        <v>274</v>
      </c>
      <c r="AZ74" s="24" t="s">
        <v>277</v>
      </c>
      <c r="BB74" s="28">
        <f t="shared" si="17"/>
        <v>0</v>
      </c>
      <c r="BC74" s="28">
        <f t="shared" si="18"/>
        <v>0</v>
      </c>
      <c r="BD74" s="28">
        <v>0</v>
      </c>
      <c r="BE74" s="28">
        <f>74</f>
        <v>74</v>
      </c>
      <c r="BG74" s="16">
        <f t="shared" si="19"/>
        <v>0</v>
      </c>
      <c r="BH74" s="16">
        <f t="shared" si="20"/>
        <v>0</v>
      </c>
      <c r="BI74" s="16">
        <f t="shared" si="21"/>
        <v>0</v>
      </c>
    </row>
    <row r="75" spans="1:61" ht="12.75">
      <c r="A75" s="4" t="s">
        <v>40</v>
      </c>
      <c r="B75" s="4" t="s">
        <v>100</v>
      </c>
      <c r="C75" s="153" t="s">
        <v>188</v>
      </c>
      <c r="D75" s="150"/>
      <c r="E75" s="150"/>
      <c r="F75" s="4" t="s">
        <v>237</v>
      </c>
      <c r="G75" s="65">
        <v>18</v>
      </c>
      <c r="H75" s="16">
        <v>0</v>
      </c>
      <c r="I75" s="16">
        <f t="shared" si="0"/>
        <v>0</v>
      </c>
      <c r="J75" s="16">
        <f t="shared" si="1"/>
        <v>0</v>
      </c>
      <c r="K75" s="16">
        <f t="shared" si="2"/>
        <v>0</v>
      </c>
      <c r="Y75" s="28">
        <f t="shared" si="3"/>
        <v>0</v>
      </c>
      <c r="AA75" s="28">
        <f t="shared" si="4"/>
        <v>0</v>
      </c>
      <c r="AB75" s="28">
        <f t="shared" si="5"/>
        <v>0</v>
      </c>
      <c r="AC75" s="28">
        <f t="shared" si="6"/>
        <v>0</v>
      </c>
      <c r="AD75" s="28">
        <f t="shared" si="7"/>
        <v>0</v>
      </c>
      <c r="AE75" s="28">
        <f t="shared" si="8"/>
        <v>0</v>
      </c>
      <c r="AF75" s="28">
        <f t="shared" si="9"/>
        <v>0</v>
      </c>
      <c r="AG75" s="28">
        <f t="shared" si="10"/>
        <v>0</v>
      </c>
      <c r="AH75" s="24"/>
      <c r="AI75" s="16">
        <f t="shared" si="11"/>
        <v>0</v>
      </c>
      <c r="AJ75" s="16">
        <f t="shared" si="12"/>
        <v>0</v>
      </c>
      <c r="AK75" s="16">
        <f t="shared" si="13"/>
        <v>0</v>
      </c>
      <c r="AM75" s="28">
        <v>21</v>
      </c>
      <c r="AN75" s="28">
        <f>H75*0.217589082638362</f>
        <v>0</v>
      </c>
      <c r="AO75" s="28">
        <f>H75*(1-0.217589082638362)</f>
        <v>0</v>
      </c>
      <c r="AP75" s="23" t="s">
        <v>13</v>
      </c>
      <c r="AU75" s="28">
        <f t="shared" si="14"/>
        <v>0</v>
      </c>
      <c r="AV75" s="28">
        <f t="shared" si="15"/>
        <v>0</v>
      </c>
      <c r="AW75" s="28">
        <f t="shared" si="16"/>
        <v>0</v>
      </c>
      <c r="AX75" s="29" t="s">
        <v>268</v>
      </c>
      <c r="AY75" s="29" t="s">
        <v>274</v>
      </c>
      <c r="AZ75" s="24" t="s">
        <v>277</v>
      </c>
      <c r="BB75" s="28">
        <f t="shared" si="17"/>
        <v>0</v>
      </c>
      <c r="BC75" s="28">
        <f t="shared" si="18"/>
        <v>0</v>
      </c>
      <c r="BD75" s="28">
        <v>0</v>
      </c>
      <c r="BE75" s="28">
        <f>75</f>
        <v>75</v>
      </c>
      <c r="BG75" s="16">
        <f t="shared" si="19"/>
        <v>0</v>
      </c>
      <c r="BH75" s="16">
        <f t="shared" si="20"/>
        <v>0</v>
      </c>
      <c r="BI75" s="16">
        <f t="shared" si="21"/>
        <v>0</v>
      </c>
    </row>
    <row r="76" spans="1:61" ht="12.75">
      <c r="A76" s="4" t="s">
        <v>41</v>
      </c>
      <c r="B76" s="4" t="s">
        <v>101</v>
      </c>
      <c r="C76" s="153" t="s">
        <v>189</v>
      </c>
      <c r="D76" s="150"/>
      <c r="E76" s="150"/>
      <c r="F76" s="4" t="s">
        <v>237</v>
      </c>
      <c r="G76" s="65">
        <v>65</v>
      </c>
      <c r="H76" s="16">
        <v>0</v>
      </c>
      <c r="I76" s="16">
        <f t="shared" si="0"/>
        <v>0</v>
      </c>
      <c r="J76" s="16">
        <f t="shared" si="1"/>
        <v>0</v>
      </c>
      <c r="K76" s="16">
        <f t="shared" si="2"/>
        <v>0</v>
      </c>
      <c r="Y76" s="28">
        <f t="shared" si="3"/>
        <v>0</v>
      </c>
      <c r="AA76" s="28">
        <f t="shared" si="4"/>
        <v>0</v>
      </c>
      <c r="AB76" s="28">
        <f t="shared" si="5"/>
        <v>0</v>
      </c>
      <c r="AC76" s="28">
        <f t="shared" si="6"/>
        <v>0</v>
      </c>
      <c r="AD76" s="28">
        <f t="shared" si="7"/>
        <v>0</v>
      </c>
      <c r="AE76" s="28">
        <f t="shared" si="8"/>
        <v>0</v>
      </c>
      <c r="AF76" s="28">
        <f t="shared" si="9"/>
        <v>0</v>
      </c>
      <c r="AG76" s="28">
        <f t="shared" si="10"/>
        <v>0</v>
      </c>
      <c r="AH76" s="24"/>
      <c r="AI76" s="16">
        <f t="shared" si="11"/>
        <v>0</v>
      </c>
      <c r="AJ76" s="16">
        <f t="shared" si="12"/>
        <v>0</v>
      </c>
      <c r="AK76" s="16">
        <f t="shared" si="13"/>
        <v>0</v>
      </c>
      <c r="AM76" s="28">
        <v>21</v>
      </c>
      <c r="AN76" s="28">
        <f>H76*0.317673267326733</f>
        <v>0</v>
      </c>
      <c r="AO76" s="28">
        <f>H76*(1-0.317673267326733)</f>
        <v>0</v>
      </c>
      <c r="AP76" s="23" t="s">
        <v>13</v>
      </c>
      <c r="AU76" s="28">
        <f t="shared" si="14"/>
        <v>0</v>
      </c>
      <c r="AV76" s="28">
        <f t="shared" si="15"/>
        <v>0</v>
      </c>
      <c r="AW76" s="28">
        <f t="shared" si="16"/>
        <v>0</v>
      </c>
      <c r="AX76" s="29" t="s">
        <v>268</v>
      </c>
      <c r="AY76" s="29" t="s">
        <v>274</v>
      </c>
      <c r="AZ76" s="24" t="s">
        <v>277</v>
      </c>
      <c r="BB76" s="28">
        <f t="shared" si="17"/>
        <v>0</v>
      </c>
      <c r="BC76" s="28">
        <f t="shared" si="18"/>
        <v>0</v>
      </c>
      <c r="BD76" s="28">
        <v>0</v>
      </c>
      <c r="BE76" s="28">
        <f>76</f>
        <v>76</v>
      </c>
      <c r="BG76" s="16">
        <f t="shared" si="19"/>
        <v>0</v>
      </c>
      <c r="BH76" s="16">
        <f t="shared" si="20"/>
        <v>0</v>
      </c>
      <c r="BI76" s="16">
        <f t="shared" si="21"/>
        <v>0</v>
      </c>
    </row>
    <row r="77" spans="1:61" ht="12.75">
      <c r="A77" s="4" t="s">
        <v>42</v>
      </c>
      <c r="B77" s="4" t="s">
        <v>102</v>
      </c>
      <c r="C77" s="153" t="s">
        <v>190</v>
      </c>
      <c r="D77" s="150"/>
      <c r="E77" s="150"/>
      <c r="F77" s="4" t="s">
        <v>237</v>
      </c>
      <c r="G77" s="65">
        <v>8</v>
      </c>
      <c r="H77" s="16">
        <v>0</v>
      </c>
      <c r="I77" s="16">
        <f t="shared" si="0"/>
        <v>0</v>
      </c>
      <c r="J77" s="16">
        <f t="shared" si="1"/>
        <v>0</v>
      </c>
      <c r="K77" s="16">
        <f t="shared" si="2"/>
        <v>0</v>
      </c>
      <c r="Y77" s="28">
        <f t="shared" si="3"/>
        <v>0</v>
      </c>
      <c r="AA77" s="28">
        <f t="shared" si="4"/>
        <v>0</v>
      </c>
      <c r="AB77" s="28">
        <f t="shared" si="5"/>
        <v>0</v>
      </c>
      <c r="AC77" s="28">
        <f t="shared" si="6"/>
        <v>0</v>
      </c>
      <c r="AD77" s="28">
        <f t="shared" si="7"/>
        <v>0</v>
      </c>
      <c r="AE77" s="28">
        <f t="shared" si="8"/>
        <v>0</v>
      </c>
      <c r="AF77" s="28">
        <f t="shared" si="9"/>
        <v>0</v>
      </c>
      <c r="AG77" s="28">
        <f t="shared" si="10"/>
        <v>0</v>
      </c>
      <c r="AH77" s="24"/>
      <c r="AI77" s="16">
        <f t="shared" si="11"/>
        <v>0</v>
      </c>
      <c r="AJ77" s="16">
        <f t="shared" si="12"/>
        <v>0</v>
      </c>
      <c r="AK77" s="16">
        <f t="shared" si="13"/>
        <v>0</v>
      </c>
      <c r="AM77" s="28">
        <v>21</v>
      </c>
      <c r="AN77" s="28">
        <f>H77*0.435573770491803</f>
        <v>0</v>
      </c>
      <c r="AO77" s="28">
        <f>H77*(1-0.435573770491803)</f>
        <v>0</v>
      </c>
      <c r="AP77" s="23" t="s">
        <v>13</v>
      </c>
      <c r="AU77" s="28">
        <f t="shared" si="14"/>
        <v>0</v>
      </c>
      <c r="AV77" s="28">
        <f t="shared" si="15"/>
        <v>0</v>
      </c>
      <c r="AW77" s="28">
        <f t="shared" si="16"/>
        <v>0</v>
      </c>
      <c r="AX77" s="29" t="s">
        <v>268</v>
      </c>
      <c r="AY77" s="29" t="s">
        <v>274</v>
      </c>
      <c r="AZ77" s="24" t="s">
        <v>277</v>
      </c>
      <c r="BB77" s="28">
        <f t="shared" si="17"/>
        <v>0</v>
      </c>
      <c r="BC77" s="28">
        <f t="shared" si="18"/>
        <v>0</v>
      </c>
      <c r="BD77" s="28">
        <v>0</v>
      </c>
      <c r="BE77" s="28">
        <f>77</f>
        <v>77</v>
      </c>
      <c r="BG77" s="16">
        <f t="shared" si="19"/>
        <v>0</v>
      </c>
      <c r="BH77" s="16">
        <f t="shared" si="20"/>
        <v>0</v>
      </c>
      <c r="BI77" s="16">
        <f t="shared" si="21"/>
        <v>0</v>
      </c>
    </row>
    <row r="78" spans="1:61" ht="12.75">
      <c r="A78" s="4" t="s">
        <v>43</v>
      </c>
      <c r="B78" s="4" t="s">
        <v>103</v>
      </c>
      <c r="C78" s="153" t="s">
        <v>191</v>
      </c>
      <c r="D78" s="150"/>
      <c r="E78" s="150"/>
      <c r="F78" s="4" t="s">
        <v>237</v>
      </c>
      <c r="G78" s="65">
        <v>44.5</v>
      </c>
      <c r="H78" s="16">
        <v>0</v>
      </c>
      <c r="I78" s="16">
        <f t="shared" si="0"/>
        <v>0</v>
      </c>
      <c r="J78" s="16">
        <f t="shared" si="1"/>
        <v>0</v>
      </c>
      <c r="K78" s="16">
        <f t="shared" si="2"/>
        <v>0</v>
      </c>
      <c r="Y78" s="28">
        <f t="shared" si="3"/>
        <v>0</v>
      </c>
      <c r="AA78" s="28">
        <f t="shared" si="4"/>
        <v>0</v>
      </c>
      <c r="AB78" s="28">
        <f t="shared" si="5"/>
        <v>0</v>
      </c>
      <c r="AC78" s="28">
        <f t="shared" si="6"/>
        <v>0</v>
      </c>
      <c r="AD78" s="28">
        <f t="shared" si="7"/>
        <v>0</v>
      </c>
      <c r="AE78" s="28">
        <f t="shared" si="8"/>
        <v>0</v>
      </c>
      <c r="AF78" s="28">
        <f t="shared" si="9"/>
        <v>0</v>
      </c>
      <c r="AG78" s="28">
        <f t="shared" si="10"/>
        <v>0</v>
      </c>
      <c r="AH78" s="24"/>
      <c r="AI78" s="16">
        <f t="shared" si="11"/>
        <v>0</v>
      </c>
      <c r="AJ78" s="16">
        <f t="shared" si="12"/>
        <v>0</v>
      </c>
      <c r="AK78" s="16">
        <f t="shared" si="13"/>
        <v>0</v>
      </c>
      <c r="AM78" s="28">
        <v>21</v>
      </c>
      <c r="AN78" s="28">
        <f>H78*0.397413793103448</f>
        <v>0</v>
      </c>
      <c r="AO78" s="28">
        <f>H78*(1-0.397413793103448)</f>
        <v>0</v>
      </c>
      <c r="AP78" s="23" t="s">
        <v>13</v>
      </c>
      <c r="AU78" s="28">
        <f t="shared" si="14"/>
        <v>0</v>
      </c>
      <c r="AV78" s="28">
        <f t="shared" si="15"/>
        <v>0</v>
      </c>
      <c r="AW78" s="28">
        <f t="shared" si="16"/>
        <v>0</v>
      </c>
      <c r="AX78" s="29" t="s">
        <v>268</v>
      </c>
      <c r="AY78" s="29" t="s">
        <v>274</v>
      </c>
      <c r="AZ78" s="24" t="s">
        <v>277</v>
      </c>
      <c r="BB78" s="28">
        <f t="shared" si="17"/>
        <v>0</v>
      </c>
      <c r="BC78" s="28">
        <f t="shared" si="18"/>
        <v>0</v>
      </c>
      <c r="BD78" s="28">
        <v>0</v>
      </c>
      <c r="BE78" s="28">
        <f>78</f>
        <v>78</v>
      </c>
      <c r="BG78" s="16">
        <f t="shared" si="19"/>
        <v>0</v>
      </c>
      <c r="BH78" s="16">
        <f t="shared" si="20"/>
        <v>0</v>
      </c>
      <c r="BI78" s="16">
        <f t="shared" si="21"/>
        <v>0</v>
      </c>
    </row>
    <row r="79" spans="1:61" ht="12.75">
      <c r="A79" s="4" t="s">
        <v>44</v>
      </c>
      <c r="B79" s="4" t="s">
        <v>104</v>
      </c>
      <c r="C79" s="153" t="s">
        <v>192</v>
      </c>
      <c r="D79" s="150"/>
      <c r="E79" s="150"/>
      <c r="F79" s="4" t="s">
        <v>238</v>
      </c>
      <c r="G79" s="65">
        <v>1</v>
      </c>
      <c r="H79" s="16">
        <v>0</v>
      </c>
      <c r="I79" s="16">
        <f t="shared" si="0"/>
        <v>0</v>
      </c>
      <c r="J79" s="16">
        <f t="shared" si="1"/>
        <v>0</v>
      </c>
      <c r="K79" s="16">
        <f t="shared" si="2"/>
        <v>0</v>
      </c>
      <c r="Y79" s="28">
        <f t="shared" si="3"/>
        <v>0</v>
      </c>
      <c r="AA79" s="28">
        <f t="shared" si="4"/>
        <v>0</v>
      </c>
      <c r="AB79" s="28">
        <f t="shared" si="5"/>
        <v>0</v>
      </c>
      <c r="AC79" s="28">
        <f t="shared" si="6"/>
        <v>0</v>
      </c>
      <c r="AD79" s="28">
        <f t="shared" si="7"/>
        <v>0</v>
      </c>
      <c r="AE79" s="28">
        <f t="shared" si="8"/>
        <v>0</v>
      </c>
      <c r="AF79" s="28">
        <f t="shared" si="9"/>
        <v>0</v>
      </c>
      <c r="AG79" s="28">
        <f t="shared" si="10"/>
        <v>0</v>
      </c>
      <c r="AH79" s="24"/>
      <c r="AI79" s="16">
        <f t="shared" si="11"/>
        <v>0</v>
      </c>
      <c r="AJ79" s="16">
        <f t="shared" si="12"/>
        <v>0</v>
      </c>
      <c r="AK79" s="16">
        <f t="shared" si="13"/>
        <v>0</v>
      </c>
      <c r="AM79" s="28">
        <v>21</v>
      </c>
      <c r="AN79" s="28">
        <f>H79*0.89242277992278</f>
        <v>0</v>
      </c>
      <c r="AO79" s="28">
        <f>H79*(1-0.89242277992278)</f>
        <v>0</v>
      </c>
      <c r="AP79" s="23" t="s">
        <v>13</v>
      </c>
      <c r="AU79" s="28">
        <f t="shared" si="14"/>
        <v>0</v>
      </c>
      <c r="AV79" s="28">
        <f t="shared" si="15"/>
        <v>0</v>
      </c>
      <c r="AW79" s="28">
        <f t="shared" si="16"/>
        <v>0</v>
      </c>
      <c r="AX79" s="29" t="s">
        <v>268</v>
      </c>
      <c r="AY79" s="29" t="s">
        <v>274</v>
      </c>
      <c r="AZ79" s="24" t="s">
        <v>277</v>
      </c>
      <c r="BB79" s="28">
        <f t="shared" si="17"/>
        <v>0</v>
      </c>
      <c r="BC79" s="28">
        <f t="shared" si="18"/>
        <v>0</v>
      </c>
      <c r="BD79" s="28">
        <v>0</v>
      </c>
      <c r="BE79" s="28">
        <f>79</f>
        <v>79</v>
      </c>
      <c r="BG79" s="16">
        <f t="shared" si="19"/>
        <v>0</v>
      </c>
      <c r="BH79" s="16">
        <f t="shared" si="20"/>
        <v>0</v>
      </c>
      <c r="BI79" s="16">
        <f t="shared" si="21"/>
        <v>0</v>
      </c>
    </row>
    <row r="80" spans="1:61" ht="12.75">
      <c r="A80" s="4" t="s">
        <v>45</v>
      </c>
      <c r="B80" s="4" t="s">
        <v>105</v>
      </c>
      <c r="C80" s="153" t="s">
        <v>193</v>
      </c>
      <c r="D80" s="150"/>
      <c r="E80" s="150"/>
      <c r="F80" s="4" t="s">
        <v>238</v>
      </c>
      <c r="G80" s="65">
        <v>1</v>
      </c>
      <c r="H80" s="16">
        <v>0</v>
      </c>
      <c r="I80" s="16">
        <f t="shared" si="0"/>
        <v>0</v>
      </c>
      <c r="J80" s="16">
        <f t="shared" si="1"/>
        <v>0</v>
      </c>
      <c r="K80" s="16">
        <f t="shared" si="2"/>
        <v>0</v>
      </c>
      <c r="Y80" s="28">
        <f t="shared" si="3"/>
        <v>0</v>
      </c>
      <c r="AA80" s="28">
        <f t="shared" si="4"/>
        <v>0</v>
      </c>
      <c r="AB80" s="28">
        <f t="shared" si="5"/>
        <v>0</v>
      </c>
      <c r="AC80" s="28">
        <f t="shared" si="6"/>
        <v>0</v>
      </c>
      <c r="AD80" s="28">
        <f t="shared" si="7"/>
        <v>0</v>
      </c>
      <c r="AE80" s="28">
        <f t="shared" si="8"/>
        <v>0</v>
      </c>
      <c r="AF80" s="28">
        <f t="shared" si="9"/>
        <v>0</v>
      </c>
      <c r="AG80" s="28">
        <f t="shared" si="10"/>
        <v>0</v>
      </c>
      <c r="AH80" s="24"/>
      <c r="AI80" s="16">
        <f t="shared" si="11"/>
        <v>0</v>
      </c>
      <c r="AJ80" s="16">
        <f t="shared" si="12"/>
        <v>0</v>
      </c>
      <c r="AK80" s="16">
        <f t="shared" si="13"/>
        <v>0</v>
      </c>
      <c r="AM80" s="28">
        <v>21</v>
      </c>
      <c r="AN80" s="28">
        <f>H80*0.648483606557377</f>
        <v>0</v>
      </c>
      <c r="AO80" s="28">
        <f>H80*(1-0.648483606557377)</f>
        <v>0</v>
      </c>
      <c r="AP80" s="23" t="s">
        <v>13</v>
      </c>
      <c r="AU80" s="28">
        <f t="shared" si="14"/>
        <v>0</v>
      </c>
      <c r="AV80" s="28">
        <f t="shared" si="15"/>
        <v>0</v>
      </c>
      <c r="AW80" s="28">
        <f t="shared" si="16"/>
        <v>0</v>
      </c>
      <c r="AX80" s="29" t="s">
        <v>268</v>
      </c>
      <c r="AY80" s="29" t="s">
        <v>274</v>
      </c>
      <c r="AZ80" s="24" t="s">
        <v>277</v>
      </c>
      <c r="BB80" s="28">
        <f t="shared" si="17"/>
        <v>0</v>
      </c>
      <c r="BC80" s="28">
        <f t="shared" si="18"/>
        <v>0</v>
      </c>
      <c r="BD80" s="28">
        <v>0</v>
      </c>
      <c r="BE80" s="28">
        <f>80</f>
        <v>80</v>
      </c>
      <c r="BG80" s="16">
        <f t="shared" si="19"/>
        <v>0</v>
      </c>
      <c r="BH80" s="16">
        <f t="shared" si="20"/>
        <v>0</v>
      </c>
      <c r="BI80" s="16">
        <f t="shared" si="21"/>
        <v>0</v>
      </c>
    </row>
    <row r="81" spans="1:61" ht="12.75">
      <c r="A81" s="4" t="s">
        <v>46</v>
      </c>
      <c r="B81" s="4" t="s">
        <v>106</v>
      </c>
      <c r="C81" s="153" t="s">
        <v>194</v>
      </c>
      <c r="D81" s="150"/>
      <c r="E81" s="150"/>
      <c r="F81" s="4" t="s">
        <v>238</v>
      </c>
      <c r="G81" s="65">
        <v>1</v>
      </c>
      <c r="H81" s="16">
        <v>0</v>
      </c>
      <c r="I81" s="16">
        <f t="shared" si="0"/>
        <v>0</v>
      </c>
      <c r="J81" s="16">
        <f t="shared" si="1"/>
        <v>0</v>
      </c>
      <c r="K81" s="16">
        <f t="shared" si="2"/>
        <v>0</v>
      </c>
      <c r="Y81" s="28">
        <f t="shared" si="3"/>
        <v>0</v>
      </c>
      <c r="AA81" s="28">
        <f t="shared" si="4"/>
        <v>0</v>
      </c>
      <c r="AB81" s="28">
        <f t="shared" si="5"/>
        <v>0</v>
      </c>
      <c r="AC81" s="28">
        <f t="shared" si="6"/>
        <v>0</v>
      </c>
      <c r="AD81" s="28">
        <f t="shared" si="7"/>
        <v>0</v>
      </c>
      <c r="AE81" s="28">
        <f t="shared" si="8"/>
        <v>0</v>
      </c>
      <c r="AF81" s="28">
        <f t="shared" si="9"/>
        <v>0</v>
      </c>
      <c r="AG81" s="28">
        <f t="shared" si="10"/>
        <v>0</v>
      </c>
      <c r="AH81" s="24"/>
      <c r="AI81" s="16">
        <f t="shared" si="11"/>
        <v>0</v>
      </c>
      <c r="AJ81" s="16">
        <f t="shared" si="12"/>
        <v>0</v>
      </c>
      <c r="AK81" s="16">
        <f t="shared" si="13"/>
        <v>0</v>
      </c>
      <c r="AM81" s="28">
        <v>21</v>
      </c>
      <c r="AN81" s="28">
        <f>H81*0.740193370165746</f>
        <v>0</v>
      </c>
      <c r="AO81" s="28">
        <f>H81*(1-0.740193370165746)</f>
        <v>0</v>
      </c>
      <c r="AP81" s="23" t="s">
        <v>13</v>
      </c>
      <c r="AU81" s="28">
        <f t="shared" si="14"/>
        <v>0</v>
      </c>
      <c r="AV81" s="28">
        <f t="shared" si="15"/>
        <v>0</v>
      </c>
      <c r="AW81" s="28">
        <f t="shared" si="16"/>
        <v>0</v>
      </c>
      <c r="AX81" s="29" t="s">
        <v>268</v>
      </c>
      <c r="AY81" s="29" t="s">
        <v>274</v>
      </c>
      <c r="AZ81" s="24" t="s">
        <v>277</v>
      </c>
      <c r="BB81" s="28">
        <f t="shared" si="17"/>
        <v>0</v>
      </c>
      <c r="BC81" s="28">
        <f t="shared" si="18"/>
        <v>0</v>
      </c>
      <c r="BD81" s="28">
        <v>0</v>
      </c>
      <c r="BE81" s="28">
        <f>81</f>
        <v>81</v>
      </c>
      <c r="BG81" s="16">
        <f t="shared" si="19"/>
        <v>0</v>
      </c>
      <c r="BH81" s="16">
        <f t="shared" si="20"/>
        <v>0</v>
      </c>
      <c r="BI81" s="16">
        <f t="shared" si="21"/>
        <v>0</v>
      </c>
    </row>
    <row r="82" spans="1:61" ht="12.75">
      <c r="A82" s="4" t="s">
        <v>47</v>
      </c>
      <c r="B82" s="4" t="s">
        <v>107</v>
      </c>
      <c r="C82" s="153" t="s">
        <v>195</v>
      </c>
      <c r="D82" s="150"/>
      <c r="E82" s="150"/>
      <c r="F82" s="4" t="s">
        <v>238</v>
      </c>
      <c r="G82" s="65">
        <v>4</v>
      </c>
      <c r="H82" s="16">
        <v>0</v>
      </c>
      <c r="I82" s="16">
        <f t="shared" si="0"/>
        <v>0</v>
      </c>
      <c r="J82" s="16">
        <f t="shared" si="1"/>
        <v>0</v>
      </c>
      <c r="K82" s="16">
        <f t="shared" si="2"/>
        <v>0</v>
      </c>
      <c r="Y82" s="28">
        <f t="shared" si="3"/>
        <v>0</v>
      </c>
      <c r="AA82" s="28">
        <f t="shared" si="4"/>
        <v>0</v>
      </c>
      <c r="AB82" s="28">
        <f t="shared" si="5"/>
        <v>0</v>
      </c>
      <c r="AC82" s="28">
        <f t="shared" si="6"/>
        <v>0</v>
      </c>
      <c r="AD82" s="28">
        <f t="shared" si="7"/>
        <v>0</v>
      </c>
      <c r="AE82" s="28">
        <f t="shared" si="8"/>
        <v>0</v>
      </c>
      <c r="AF82" s="28">
        <f t="shared" si="9"/>
        <v>0</v>
      </c>
      <c r="AG82" s="28">
        <f t="shared" si="10"/>
        <v>0</v>
      </c>
      <c r="AH82" s="24"/>
      <c r="AI82" s="16">
        <f t="shared" si="11"/>
        <v>0</v>
      </c>
      <c r="AJ82" s="16">
        <f t="shared" si="12"/>
        <v>0</v>
      </c>
      <c r="AK82" s="16">
        <f t="shared" si="13"/>
        <v>0</v>
      </c>
      <c r="AM82" s="28">
        <v>21</v>
      </c>
      <c r="AN82" s="28">
        <f>H82*0.787309160305343</f>
        <v>0</v>
      </c>
      <c r="AO82" s="28">
        <f>H82*(1-0.787309160305343)</f>
        <v>0</v>
      </c>
      <c r="AP82" s="23" t="s">
        <v>13</v>
      </c>
      <c r="AU82" s="28">
        <f t="shared" si="14"/>
        <v>0</v>
      </c>
      <c r="AV82" s="28">
        <f t="shared" si="15"/>
        <v>0</v>
      </c>
      <c r="AW82" s="28">
        <f t="shared" si="16"/>
        <v>0</v>
      </c>
      <c r="AX82" s="29" t="s">
        <v>268</v>
      </c>
      <c r="AY82" s="29" t="s">
        <v>274</v>
      </c>
      <c r="AZ82" s="24" t="s">
        <v>277</v>
      </c>
      <c r="BB82" s="28">
        <f t="shared" si="17"/>
        <v>0</v>
      </c>
      <c r="BC82" s="28">
        <f t="shared" si="18"/>
        <v>0</v>
      </c>
      <c r="BD82" s="28">
        <v>0</v>
      </c>
      <c r="BE82" s="28">
        <f>82</f>
        <v>82</v>
      </c>
      <c r="BG82" s="16">
        <f t="shared" si="19"/>
        <v>0</v>
      </c>
      <c r="BH82" s="16">
        <f t="shared" si="20"/>
        <v>0</v>
      </c>
      <c r="BI82" s="16">
        <f t="shared" si="21"/>
        <v>0</v>
      </c>
    </row>
    <row r="83" spans="1:61" ht="12.75">
      <c r="A83" s="4" t="s">
        <v>48</v>
      </c>
      <c r="B83" s="4" t="s">
        <v>108</v>
      </c>
      <c r="C83" s="153" t="s">
        <v>196</v>
      </c>
      <c r="D83" s="150"/>
      <c r="E83" s="150"/>
      <c r="F83" s="4" t="s">
        <v>238</v>
      </c>
      <c r="G83" s="65">
        <v>2</v>
      </c>
      <c r="H83" s="16">
        <v>0</v>
      </c>
      <c r="I83" s="16">
        <f t="shared" si="0"/>
        <v>0</v>
      </c>
      <c r="J83" s="16">
        <f t="shared" si="1"/>
        <v>0</v>
      </c>
      <c r="K83" s="16">
        <f t="shared" si="2"/>
        <v>0</v>
      </c>
      <c r="Y83" s="28">
        <f t="shared" si="3"/>
        <v>0</v>
      </c>
      <c r="AA83" s="28">
        <f t="shared" si="4"/>
        <v>0</v>
      </c>
      <c r="AB83" s="28">
        <f t="shared" si="5"/>
        <v>0</v>
      </c>
      <c r="AC83" s="28">
        <f t="shared" si="6"/>
        <v>0</v>
      </c>
      <c r="AD83" s="28">
        <f t="shared" si="7"/>
        <v>0</v>
      </c>
      <c r="AE83" s="28">
        <f t="shared" si="8"/>
        <v>0</v>
      </c>
      <c r="AF83" s="28">
        <f t="shared" si="9"/>
        <v>0</v>
      </c>
      <c r="AG83" s="28">
        <f t="shared" si="10"/>
        <v>0</v>
      </c>
      <c r="AH83" s="24"/>
      <c r="AI83" s="16">
        <f t="shared" si="11"/>
        <v>0</v>
      </c>
      <c r="AJ83" s="16">
        <f t="shared" si="12"/>
        <v>0</v>
      </c>
      <c r="AK83" s="16">
        <f t="shared" si="13"/>
        <v>0</v>
      </c>
      <c r="AM83" s="28">
        <v>21</v>
      </c>
      <c r="AN83" s="28">
        <f>H83*0.909386178861789</f>
        <v>0</v>
      </c>
      <c r="AO83" s="28">
        <f>H83*(1-0.909386178861789)</f>
        <v>0</v>
      </c>
      <c r="AP83" s="23" t="s">
        <v>13</v>
      </c>
      <c r="AU83" s="28">
        <f t="shared" si="14"/>
        <v>0</v>
      </c>
      <c r="AV83" s="28">
        <f t="shared" si="15"/>
        <v>0</v>
      </c>
      <c r="AW83" s="28">
        <f t="shared" si="16"/>
        <v>0</v>
      </c>
      <c r="AX83" s="29" t="s">
        <v>268</v>
      </c>
      <c r="AY83" s="29" t="s">
        <v>274</v>
      </c>
      <c r="AZ83" s="24" t="s">
        <v>277</v>
      </c>
      <c r="BB83" s="28">
        <f t="shared" si="17"/>
        <v>0</v>
      </c>
      <c r="BC83" s="28">
        <f t="shared" si="18"/>
        <v>0</v>
      </c>
      <c r="BD83" s="28">
        <v>0</v>
      </c>
      <c r="BE83" s="28">
        <f>83</f>
        <v>83</v>
      </c>
      <c r="BG83" s="16">
        <f t="shared" si="19"/>
        <v>0</v>
      </c>
      <c r="BH83" s="16">
        <f t="shared" si="20"/>
        <v>0</v>
      </c>
      <c r="BI83" s="16">
        <f t="shared" si="21"/>
        <v>0</v>
      </c>
    </row>
    <row r="84" spans="1:61" ht="12.75">
      <c r="A84" s="4" t="s">
        <v>49</v>
      </c>
      <c r="B84" s="4" t="s">
        <v>109</v>
      </c>
      <c r="C84" s="153" t="s">
        <v>197</v>
      </c>
      <c r="D84" s="150"/>
      <c r="E84" s="150"/>
      <c r="F84" s="4" t="s">
        <v>239</v>
      </c>
      <c r="G84" s="65">
        <v>3.16</v>
      </c>
      <c r="H84" s="16">
        <v>0</v>
      </c>
      <c r="I84" s="16">
        <f t="shared" si="0"/>
        <v>0</v>
      </c>
      <c r="J84" s="16">
        <f t="shared" si="1"/>
        <v>0</v>
      </c>
      <c r="K84" s="16">
        <f t="shared" si="2"/>
        <v>0</v>
      </c>
      <c r="Y84" s="28">
        <f t="shared" si="3"/>
        <v>0</v>
      </c>
      <c r="AA84" s="28">
        <f t="shared" si="4"/>
        <v>0</v>
      </c>
      <c r="AB84" s="28">
        <f t="shared" si="5"/>
        <v>0</v>
      </c>
      <c r="AC84" s="28">
        <f t="shared" si="6"/>
        <v>0</v>
      </c>
      <c r="AD84" s="28">
        <f t="shared" si="7"/>
        <v>0</v>
      </c>
      <c r="AE84" s="28">
        <f t="shared" si="8"/>
        <v>0</v>
      </c>
      <c r="AF84" s="28">
        <f t="shared" si="9"/>
        <v>0</v>
      </c>
      <c r="AG84" s="28">
        <f t="shared" si="10"/>
        <v>0</v>
      </c>
      <c r="AH84" s="24"/>
      <c r="AI84" s="16">
        <f t="shared" si="11"/>
        <v>0</v>
      </c>
      <c r="AJ84" s="16">
        <f t="shared" si="12"/>
        <v>0</v>
      </c>
      <c r="AK84" s="16">
        <f t="shared" si="13"/>
        <v>0</v>
      </c>
      <c r="AM84" s="28">
        <v>21</v>
      </c>
      <c r="AN84" s="28">
        <f>H84*0</f>
        <v>0</v>
      </c>
      <c r="AO84" s="28">
        <f>H84*(1-0)</f>
        <v>0</v>
      </c>
      <c r="AP84" s="23" t="s">
        <v>11</v>
      </c>
      <c r="AU84" s="28">
        <f t="shared" si="14"/>
        <v>0</v>
      </c>
      <c r="AV84" s="28">
        <f t="shared" si="15"/>
        <v>0</v>
      </c>
      <c r="AW84" s="28">
        <f t="shared" si="16"/>
        <v>0</v>
      </c>
      <c r="AX84" s="29" t="s">
        <v>268</v>
      </c>
      <c r="AY84" s="29" t="s">
        <v>274</v>
      </c>
      <c r="AZ84" s="24" t="s">
        <v>277</v>
      </c>
      <c r="BB84" s="28">
        <f t="shared" si="17"/>
        <v>0</v>
      </c>
      <c r="BC84" s="28">
        <f t="shared" si="18"/>
        <v>0</v>
      </c>
      <c r="BD84" s="28">
        <v>0</v>
      </c>
      <c r="BE84" s="28">
        <f>84</f>
        <v>84</v>
      </c>
      <c r="BG84" s="16">
        <f t="shared" si="19"/>
        <v>0</v>
      </c>
      <c r="BH84" s="16">
        <f t="shared" si="20"/>
        <v>0</v>
      </c>
      <c r="BI84" s="16">
        <f t="shared" si="21"/>
        <v>0</v>
      </c>
    </row>
    <row r="85" spans="1:61" ht="12.75">
      <c r="A85" s="4" t="s">
        <v>50</v>
      </c>
      <c r="B85" s="4" t="s">
        <v>110</v>
      </c>
      <c r="C85" s="153" t="s">
        <v>198</v>
      </c>
      <c r="D85" s="150"/>
      <c r="E85" s="150"/>
      <c r="F85" s="4" t="s">
        <v>238</v>
      </c>
      <c r="G85" s="65">
        <v>1</v>
      </c>
      <c r="H85" s="16">
        <v>0</v>
      </c>
      <c r="I85" s="16">
        <f t="shared" si="0"/>
        <v>0</v>
      </c>
      <c r="J85" s="16">
        <f t="shared" si="1"/>
        <v>0</v>
      </c>
      <c r="K85" s="16">
        <f t="shared" si="2"/>
        <v>0</v>
      </c>
      <c r="Y85" s="28">
        <f t="shared" si="3"/>
        <v>0</v>
      </c>
      <c r="AA85" s="28">
        <f t="shared" si="4"/>
        <v>0</v>
      </c>
      <c r="AB85" s="28">
        <f t="shared" si="5"/>
        <v>0</v>
      </c>
      <c r="AC85" s="28">
        <f t="shared" si="6"/>
        <v>0</v>
      </c>
      <c r="AD85" s="28">
        <f t="shared" si="7"/>
        <v>0</v>
      </c>
      <c r="AE85" s="28">
        <f t="shared" si="8"/>
        <v>0</v>
      </c>
      <c r="AF85" s="28">
        <f t="shared" si="9"/>
        <v>0</v>
      </c>
      <c r="AG85" s="28">
        <f t="shared" si="10"/>
        <v>0</v>
      </c>
      <c r="AH85" s="24"/>
      <c r="AI85" s="16">
        <f t="shared" si="11"/>
        <v>0</v>
      </c>
      <c r="AJ85" s="16">
        <f t="shared" si="12"/>
        <v>0</v>
      </c>
      <c r="AK85" s="16">
        <f t="shared" si="13"/>
        <v>0</v>
      </c>
      <c r="AM85" s="28">
        <v>21</v>
      </c>
      <c r="AN85" s="28">
        <f>H85*0.0433816425120773</f>
        <v>0</v>
      </c>
      <c r="AO85" s="28">
        <f>H85*(1-0.0433816425120773)</f>
        <v>0</v>
      </c>
      <c r="AP85" s="23" t="s">
        <v>13</v>
      </c>
      <c r="AU85" s="28">
        <f t="shared" si="14"/>
        <v>0</v>
      </c>
      <c r="AV85" s="28">
        <f t="shared" si="15"/>
        <v>0</v>
      </c>
      <c r="AW85" s="28">
        <f t="shared" si="16"/>
        <v>0</v>
      </c>
      <c r="AX85" s="29" t="s">
        <v>268</v>
      </c>
      <c r="AY85" s="29" t="s">
        <v>274</v>
      </c>
      <c r="AZ85" s="24" t="s">
        <v>277</v>
      </c>
      <c r="BB85" s="28">
        <f t="shared" si="17"/>
        <v>0</v>
      </c>
      <c r="BC85" s="28">
        <f t="shared" si="18"/>
        <v>0</v>
      </c>
      <c r="BD85" s="28">
        <v>0</v>
      </c>
      <c r="BE85" s="28">
        <f>85</f>
        <v>85</v>
      </c>
      <c r="BG85" s="16">
        <f t="shared" si="19"/>
        <v>0</v>
      </c>
      <c r="BH85" s="16">
        <f t="shared" si="20"/>
        <v>0</v>
      </c>
      <c r="BI85" s="16">
        <f t="shared" si="21"/>
        <v>0</v>
      </c>
    </row>
    <row r="86" spans="1:61" ht="12.75">
      <c r="A86" s="4" t="s">
        <v>51</v>
      </c>
      <c r="B86" s="4" t="s">
        <v>111</v>
      </c>
      <c r="C86" s="153" t="s">
        <v>199</v>
      </c>
      <c r="D86" s="150"/>
      <c r="E86" s="150"/>
      <c r="F86" s="4" t="s">
        <v>238</v>
      </c>
      <c r="G86" s="65">
        <v>2</v>
      </c>
      <c r="H86" s="16">
        <v>0</v>
      </c>
      <c r="I86" s="16">
        <f t="shared" si="0"/>
        <v>0</v>
      </c>
      <c r="J86" s="16">
        <f t="shared" si="1"/>
        <v>0</v>
      </c>
      <c r="K86" s="16">
        <f t="shared" si="2"/>
        <v>0</v>
      </c>
      <c r="Y86" s="28">
        <f t="shared" si="3"/>
        <v>0</v>
      </c>
      <c r="AA86" s="28">
        <f t="shared" si="4"/>
        <v>0</v>
      </c>
      <c r="AB86" s="28">
        <f t="shared" si="5"/>
        <v>0</v>
      </c>
      <c r="AC86" s="28">
        <f t="shared" si="6"/>
        <v>0</v>
      </c>
      <c r="AD86" s="28">
        <f t="shared" si="7"/>
        <v>0</v>
      </c>
      <c r="AE86" s="28">
        <f t="shared" si="8"/>
        <v>0</v>
      </c>
      <c r="AF86" s="28">
        <f t="shared" si="9"/>
        <v>0</v>
      </c>
      <c r="AG86" s="28">
        <f t="shared" si="10"/>
        <v>0</v>
      </c>
      <c r="AH86" s="24"/>
      <c r="AI86" s="16">
        <f t="shared" si="11"/>
        <v>0</v>
      </c>
      <c r="AJ86" s="16">
        <f t="shared" si="12"/>
        <v>0</v>
      </c>
      <c r="AK86" s="16">
        <f t="shared" si="13"/>
        <v>0</v>
      </c>
      <c r="AM86" s="28">
        <v>21</v>
      </c>
      <c r="AN86" s="28">
        <f>H86*0.0583549783549784</f>
        <v>0</v>
      </c>
      <c r="AO86" s="28">
        <f>H86*(1-0.0583549783549784)</f>
        <v>0</v>
      </c>
      <c r="AP86" s="23" t="s">
        <v>13</v>
      </c>
      <c r="AU86" s="28">
        <f t="shared" si="14"/>
        <v>0</v>
      </c>
      <c r="AV86" s="28">
        <f t="shared" si="15"/>
        <v>0</v>
      </c>
      <c r="AW86" s="28">
        <f t="shared" si="16"/>
        <v>0</v>
      </c>
      <c r="AX86" s="29" t="s">
        <v>268</v>
      </c>
      <c r="AY86" s="29" t="s">
        <v>274</v>
      </c>
      <c r="AZ86" s="24" t="s">
        <v>277</v>
      </c>
      <c r="BB86" s="28">
        <f t="shared" si="17"/>
        <v>0</v>
      </c>
      <c r="BC86" s="28">
        <f t="shared" si="18"/>
        <v>0</v>
      </c>
      <c r="BD86" s="28">
        <v>0</v>
      </c>
      <c r="BE86" s="28">
        <f>86</f>
        <v>86</v>
      </c>
      <c r="BG86" s="16">
        <f t="shared" si="19"/>
        <v>0</v>
      </c>
      <c r="BH86" s="16">
        <f t="shared" si="20"/>
        <v>0</v>
      </c>
      <c r="BI86" s="16">
        <f t="shared" si="21"/>
        <v>0</v>
      </c>
    </row>
    <row r="87" spans="1:61" ht="12.75">
      <c r="A87" s="6" t="s">
        <v>52</v>
      </c>
      <c r="B87" s="6" t="s">
        <v>112</v>
      </c>
      <c r="C87" s="157" t="s">
        <v>200</v>
      </c>
      <c r="D87" s="158"/>
      <c r="E87" s="158"/>
      <c r="F87" s="6" t="s">
        <v>238</v>
      </c>
      <c r="G87" s="67">
        <v>2</v>
      </c>
      <c r="H87" s="17">
        <v>0</v>
      </c>
      <c r="I87" s="17">
        <f t="shared" si="0"/>
        <v>0</v>
      </c>
      <c r="J87" s="17">
        <f t="shared" si="1"/>
        <v>0</v>
      </c>
      <c r="K87" s="17">
        <f t="shared" si="2"/>
        <v>0</v>
      </c>
      <c r="Y87" s="28">
        <f t="shared" si="3"/>
        <v>0</v>
      </c>
      <c r="AA87" s="28">
        <f t="shared" si="4"/>
        <v>0</v>
      </c>
      <c r="AB87" s="28">
        <f t="shared" si="5"/>
        <v>0</v>
      </c>
      <c r="AC87" s="28">
        <f t="shared" si="6"/>
        <v>0</v>
      </c>
      <c r="AD87" s="28">
        <f t="shared" si="7"/>
        <v>0</v>
      </c>
      <c r="AE87" s="28">
        <f t="shared" si="8"/>
        <v>0</v>
      </c>
      <c r="AF87" s="28">
        <f t="shared" si="9"/>
        <v>0</v>
      </c>
      <c r="AG87" s="28">
        <f t="shared" si="10"/>
        <v>0</v>
      </c>
      <c r="AH87" s="24"/>
      <c r="AI87" s="17">
        <f t="shared" si="11"/>
        <v>0</v>
      </c>
      <c r="AJ87" s="17">
        <f t="shared" si="12"/>
        <v>0</v>
      </c>
      <c r="AK87" s="17">
        <f t="shared" si="13"/>
        <v>0</v>
      </c>
      <c r="AM87" s="28">
        <v>21</v>
      </c>
      <c r="AN87" s="28">
        <f>H87*1</f>
        <v>0</v>
      </c>
      <c r="AO87" s="28">
        <f>H87*(1-1)</f>
        <v>0</v>
      </c>
      <c r="AP87" s="25" t="s">
        <v>13</v>
      </c>
      <c r="AU87" s="28">
        <f t="shared" si="14"/>
        <v>0</v>
      </c>
      <c r="AV87" s="28">
        <f t="shared" si="15"/>
        <v>0</v>
      </c>
      <c r="AW87" s="28">
        <f t="shared" si="16"/>
        <v>0</v>
      </c>
      <c r="AX87" s="29" t="s">
        <v>268</v>
      </c>
      <c r="AY87" s="29" t="s">
        <v>274</v>
      </c>
      <c r="AZ87" s="24" t="s">
        <v>277</v>
      </c>
      <c r="BB87" s="28">
        <f t="shared" si="17"/>
        <v>0</v>
      </c>
      <c r="BC87" s="28">
        <f t="shared" si="18"/>
        <v>0</v>
      </c>
      <c r="BD87" s="28">
        <v>0</v>
      </c>
      <c r="BE87" s="28">
        <f>87</f>
        <v>87</v>
      </c>
      <c r="BG87" s="17">
        <f t="shared" si="19"/>
        <v>0</v>
      </c>
      <c r="BH87" s="17">
        <f t="shared" si="20"/>
        <v>0</v>
      </c>
      <c r="BI87" s="17">
        <f t="shared" si="21"/>
        <v>0</v>
      </c>
    </row>
    <row r="88" spans="1:61" ht="12.75">
      <c r="A88" s="6" t="s">
        <v>53</v>
      </c>
      <c r="B88" s="6" t="s">
        <v>113</v>
      </c>
      <c r="C88" s="157" t="s">
        <v>201</v>
      </c>
      <c r="D88" s="158"/>
      <c r="E88" s="158"/>
      <c r="F88" s="6" t="s">
        <v>238</v>
      </c>
      <c r="G88" s="67">
        <v>1</v>
      </c>
      <c r="H88" s="17">
        <v>0</v>
      </c>
      <c r="I88" s="17">
        <f t="shared" si="0"/>
        <v>0</v>
      </c>
      <c r="J88" s="17">
        <f t="shared" si="1"/>
        <v>0</v>
      </c>
      <c r="K88" s="17">
        <f t="shared" si="2"/>
        <v>0</v>
      </c>
      <c r="Y88" s="28">
        <f t="shared" si="3"/>
        <v>0</v>
      </c>
      <c r="AA88" s="28">
        <f t="shared" si="4"/>
        <v>0</v>
      </c>
      <c r="AB88" s="28">
        <f t="shared" si="5"/>
        <v>0</v>
      </c>
      <c r="AC88" s="28">
        <f t="shared" si="6"/>
        <v>0</v>
      </c>
      <c r="AD88" s="28">
        <f t="shared" si="7"/>
        <v>0</v>
      </c>
      <c r="AE88" s="28">
        <f t="shared" si="8"/>
        <v>0</v>
      </c>
      <c r="AF88" s="28">
        <f t="shared" si="9"/>
        <v>0</v>
      </c>
      <c r="AG88" s="28">
        <f t="shared" si="10"/>
        <v>0</v>
      </c>
      <c r="AH88" s="24"/>
      <c r="AI88" s="17">
        <f t="shared" si="11"/>
        <v>0</v>
      </c>
      <c r="AJ88" s="17">
        <f t="shared" si="12"/>
        <v>0</v>
      </c>
      <c r="AK88" s="17">
        <f t="shared" si="13"/>
        <v>0</v>
      </c>
      <c r="AM88" s="28">
        <v>21</v>
      </c>
      <c r="AN88" s="28">
        <f>H88*1</f>
        <v>0</v>
      </c>
      <c r="AO88" s="28">
        <f>H88*(1-1)</f>
        <v>0</v>
      </c>
      <c r="AP88" s="25" t="s">
        <v>13</v>
      </c>
      <c r="AU88" s="28">
        <f t="shared" si="14"/>
        <v>0</v>
      </c>
      <c r="AV88" s="28">
        <f t="shared" si="15"/>
        <v>0</v>
      </c>
      <c r="AW88" s="28">
        <f t="shared" si="16"/>
        <v>0</v>
      </c>
      <c r="AX88" s="29" t="s">
        <v>268</v>
      </c>
      <c r="AY88" s="29" t="s">
        <v>274</v>
      </c>
      <c r="AZ88" s="24" t="s">
        <v>277</v>
      </c>
      <c r="BB88" s="28">
        <f t="shared" si="17"/>
        <v>0</v>
      </c>
      <c r="BC88" s="28">
        <f t="shared" si="18"/>
        <v>0</v>
      </c>
      <c r="BD88" s="28">
        <v>0</v>
      </c>
      <c r="BE88" s="28">
        <f>88</f>
        <v>88</v>
      </c>
      <c r="BG88" s="17">
        <f t="shared" si="19"/>
        <v>0</v>
      </c>
      <c r="BH88" s="17">
        <f t="shared" si="20"/>
        <v>0</v>
      </c>
      <c r="BI88" s="17">
        <f t="shared" si="21"/>
        <v>0</v>
      </c>
    </row>
    <row r="89" spans="1:46" ht="12.75">
      <c r="A89" s="5"/>
      <c r="B89" s="13" t="s">
        <v>114</v>
      </c>
      <c r="C89" s="155" t="s">
        <v>202</v>
      </c>
      <c r="D89" s="156"/>
      <c r="E89" s="156"/>
      <c r="F89" s="5" t="s">
        <v>6</v>
      </c>
      <c r="G89" s="5" t="s">
        <v>6</v>
      </c>
      <c r="H89" s="5" t="s">
        <v>6</v>
      </c>
      <c r="I89" s="31">
        <f>SUM(I90:I91)</f>
        <v>0</v>
      </c>
      <c r="J89" s="31">
        <f>SUM(J90:J91)</f>
        <v>0</v>
      </c>
      <c r="K89" s="31">
        <f>SUM(K90:K91)</f>
        <v>0</v>
      </c>
      <c r="AH89" s="24"/>
      <c r="AR89" s="31">
        <f>SUM(AI90:AI91)</f>
        <v>0</v>
      </c>
      <c r="AS89" s="31">
        <f>SUM(AJ90:AJ91)</f>
        <v>0</v>
      </c>
      <c r="AT89" s="31">
        <f>SUM(AK90:AK91)</f>
        <v>0</v>
      </c>
    </row>
    <row r="90" spans="1:61" ht="12.75">
      <c r="A90" s="4" t="s">
        <v>54</v>
      </c>
      <c r="B90" s="4" t="s">
        <v>115</v>
      </c>
      <c r="C90" s="153" t="s">
        <v>203</v>
      </c>
      <c r="D90" s="150"/>
      <c r="E90" s="150"/>
      <c r="F90" s="4" t="s">
        <v>237</v>
      </c>
      <c r="G90" s="65">
        <v>36</v>
      </c>
      <c r="H90" s="16">
        <v>0</v>
      </c>
      <c r="I90" s="16">
        <f>G90*AN90</f>
        <v>0</v>
      </c>
      <c r="J90" s="16">
        <f>G90*AO90</f>
        <v>0</v>
      </c>
      <c r="K90" s="16">
        <f>G90*H90</f>
        <v>0</v>
      </c>
      <c r="Y90" s="28">
        <f>IF(AP90="5",BI90,0)</f>
        <v>0</v>
      </c>
      <c r="AA90" s="28">
        <f>IF(AP90="1",BG90,0)</f>
        <v>0</v>
      </c>
      <c r="AB90" s="28">
        <f>IF(AP90="1",BH90,0)</f>
        <v>0</v>
      </c>
      <c r="AC90" s="28">
        <f>IF(AP90="7",BG90,0)</f>
        <v>0</v>
      </c>
      <c r="AD90" s="28">
        <f>IF(AP90="7",BH90,0)</f>
        <v>0</v>
      </c>
      <c r="AE90" s="28">
        <f>IF(AP90="2",BG90,0)</f>
        <v>0</v>
      </c>
      <c r="AF90" s="28">
        <f>IF(AP90="2",BH90,0)</f>
        <v>0</v>
      </c>
      <c r="AG90" s="28">
        <f>IF(AP90="0",BI90,0)</f>
        <v>0</v>
      </c>
      <c r="AH90" s="24"/>
      <c r="AI90" s="16">
        <f>IF(AM90=0,K90,0)</f>
        <v>0</v>
      </c>
      <c r="AJ90" s="16">
        <f>IF(AM90=15,K90,0)</f>
        <v>0</v>
      </c>
      <c r="AK90" s="16">
        <f>IF(AM90=21,K90,0)</f>
        <v>0</v>
      </c>
      <c r="AM90" s="28">
        <v>21</v>
      </c>
      <c r="AN90" s="28">
        <f>H90*0.668472012102874</f>
        <v>0</v>
      </c>
      <c r="AO90" s="28">
        <f>H90*(1-0.668472012102874)</f>
        <v>0</v>
      </c>
      <c r="AP90" s="23" t="s">
        <v>13</v>
      </c>
      <c r="AU90" s="28">
        <f>AV90+AW90</f>
        <v>0</v>
      </c>
      <c r="AV90" s="28">
        <f>G90*AN90</f>
        <v>0</v>
      </c>
      <c r="AW90" s="28">
        <f>G90*AO90</f>
        <v>0</v>
      </c>
      <c r="AX90" s="29" t="s">
        <v>269</v>
      </c>
      <c r="AY90" s="29" t="s">
        <v>275</v>
      </c>
      <c r="AZ90" s="24" t="s">
        <v>277</v>
      </c>
      <c r="BB90" s="28">
        <f>AV90+AW90</f>
        <v>0</v>
      </c>
      <c r="BC90" s="28">
        <f>H90/(100-BD90)*100</f>
        <v>0</v>
      </c>
      <c r="BD90" s="28">
        <v>0</v>
      </c>
      <c r="BE90" s="28">
        <f>90</f>
        <v>90</v>
      </c>
      <c r="BG90" s="16">
        <f>G90*AN90</f>
        <v>0</v>
      </c>
      <c r="BH90" s="16">
        <f>G90*AO90</f>
        <v>0</v>
      </c>
      <c r="BI90" s="16">
        <f>G90*H90</f>
        <v>0</v>
      </c>
    </row>
    <row r="91" spans="1:61" ht="12.75">
      <c r="A91" s="4" t="s">
        <v>55</v>
      </c>
      <c r="B91" s="4" t="s">
        <v>116</v>
      </c>
      <c r="C91" s="153" t="s">
        <v>204</v>
      </c>
      <c r="D91" s="150"/>
      <c r="E91" s="150"/>
      <c r="F91" s="4" t="s">
        <v>239</v>
      </c>
      <c r="G91" s="65">
        <v>0.119</v>
      </c>
      <c r="H91" s="16">
        <v>0</v>
      </c>
      <c r="I91" s="16">
        <f>G91*AN91</f>
        <v>0</v>
      </c>
      <c r="J91" s="16">
        <f>G91*AO91</f>
        <v>0</v>
      </c>
      <c r="K91" s="16">
        <f>G91*H91</f>
        <v>0</v>
      </c>
      <c r="Y91" s="28">
        <f>IF(AP91="5",BI91,0)</f>
        <v>0</v>
      </c>
      <c r="AA91" s="28">
        <f>IF(AP91="1",BG91,0)</f>
        <v>0</v>
      </c>
      <c r="AB91" s="28">
        <f>IF(AP91="1",BH91,0)</f>
        <v>0</v>
      </c>
      <c r="AC91" s="28">
        <f>IF(AP91="7",BG91,0)</f>
        <v>0</v>
      </c>
      <c r="AD91" s="28">
        <f>IF(AP91="7",BH91,0)</f>
        <v>0</v>
      </c>
      <c r="AE91" s="28">
        <f>IF(AP91="2",BG91,0)</f>
        <v>0</v>
      </c>
      <c r="AF91" s="28">
        <f>IF(AP91="2",BH91,0)</f>
        <v>0</v>
      </c>
      <c r="AG91" s="28">
        <f>IF(AP91="0",BI91,0)</f>
        <v>0</v>
      </c>
      <c r="AH91" s="24"/>
      <c r="AI91" s="16">
        <f>IF(AM91=0,K91,0)</f>
        <v>0</v>
      </c>
      <c r="AJ91" s="16">
        <f>IF(AM91=15,K91,0)</f>
        <v>0</v>
      </c>
      <c r="AK91" s="16">
        <f>IF(AM91=21,K91,0)</f>
        <v>0</v>
      </c>
      <c r="AM91" s="28">
        <v>21</v>
      </c>
      <c r="AN91" s="28">
        <f>H91*0</f>
        <v>0</v>
      </c>
      <c r="AO91" s="28">
        <f>H91*(1-0)</f>
        <v>0</v>
      </c>
      <c r="AP91" s="23" t="s">
        <v>11</v>
      </c>
      <c r="AU91" s="28">
        <f>AV91+AW91</f>
        <v>0</v>
      </c>
      <c r="AV91" s="28">
        <f>G91*AN91</f>
        <v>0</v>
      </c>
      <c r="AW91" s="28">
        <f>G91*AO91</f>
        <v>0</v>
      </c>
      <c r="AX91" s="29" t="s">
        <v>269</v>
      </c>
      <c r="AY91" s="29" t="s">
        <v>275</v>
      </c>
      <c r="AZ91" s="24" t="s">
        <v>277</v>
      </c>
      <c r="BB91" s="28">
        <f>AV91+AW91</f>
        <v>0</v>
      </c>
      <c r="BC91" s="28">
        <f>H91/(100-BD91)*100</f>
        <v>0</v>
      </c>
      <c r="BD91" s="28">
        <v>0</v>
      </c>
      <c r="BE91" s="28">
        <f>91</f>
        <v>91</v>
      </c>
      <c r="BG91" s="16">
        <f>G91*AN91</f>
        <v>0</v>
      </c>
      <c r="BH91" s="16">
        <f>G91*AO91</f>
        <v>0</v>
      </c>
      <c r="BI91" s="16">
        <f>G91*H91</f>
        <v>0</v>
      </c>
    </row>
    <row r="92" spans="1:46" ht="12.75">
      <c r="A92" s="5"/>
      <c r="B92" s="13" t="s">
        <v>117</v>
      </c>
      <c r="C92" s="155" t="s">
        <v>205</v>
      </c>
      <c r="D92" s="156"/>
      <c r="E92" s="156"/>
      <c r="F92" s="5" t="s">
        <v>6</v>
      </c>
      <c r="G92" s="5" t="s">
        <v>6</v>
      </c>
      <c r="H92" s="5" t="s">
        <v>6</v>
      </c>
      <c r="I92" s="31">
        <f>SUM(I93:I93)</f>
        <v>0</v>
      </c>
      <c r="J92" s="31">
        <f>SUM(J93:J93)</f>
        <v>0</v>
      </c>
      <c r="K92" s="31">
        <f>SUM(K93:K93)</f>
        <v>0</v>
      </c>
      <c r="AH92" s="24"/>
      <c r="AR92" s="31">
        <f>SUM(AI93:AI93)</f>
        <v>0</v>
      </c>
      <c r="AS92" s="31">
        <f>SUM(AJ93:AJ93)</f>
        <v>0</v>
      </c>
      <c r="AT92" s="31">
        <f>SUM(AK93:AK93)</f>
        <v>0</v>
      </c>
    </row>
    <row r="93" spans="1:61" ht="12.75">
      <c r="A93" s="4" t="s">
        <v>56</v>
      </c>
      <c r="B93" s="4" t="s">
        <v>118</v>
      </c>
      <c r="C93" s="153" t="s">
        <v>206</v>
      </c>
      <c r="D93" s="150"/>
      <c r="E93" s="150"/>
      <c r="F93" s="4" t="s">
        <v>235</v>
      </c>
      <c r="G93" s="65">
        <v>2.7</v>
      </c>
      <c r="H93" s="16">
        <v>0</v>
      </c>
      <c r="I93" s="16">
        <f>G93*AN93</f>
        <v>0</v>
      </c>
      <c r="J93" s="16">
        <f>G93*AO93</f>
        <v>0</v>
      </c>
      <c r="K93" s="16">
        <f>G93*H93</f>
        <v>0</v>
      </c>
      <c r="Y93" s="28">
        <f>IF(AP93="5",BI93,0)</f>
        <v>0</v>
      </c>
      <c r="AA93" s="28">
        <f>IF(AP93="1",BG93,0)</f>
        <v>0</v>
      </c>
      <c r="AB93" s="28">
        <f>IF(AP93="1",BH93,0)</f>
        <v>0</v>
      </c>
      <c r="AC93" s="28">
        <f>IF(AP93="7",BG93,0)</f>
        <v>0</v>
      </c>
      <c r="AD93" s="28">
        <f>IF(AP93="7",BH93,0)</f>
        <v>0</v>
      </c>
      <c r="AE93" s="28">
        <f>IF(AP93="2",BG93,0)</f>
        <v>0</v>
      </c>
      <c r="AF93" s="28">
        <f>IF(AP93="2",BH93,0)</f>
        <v>0</v>
      </c>
      <c r="AG93" s="28">
        <f>IF(AP93="0",BI93,0)</f>
        <v>0</v>
      </c>
      <c r="AH93" s="24"/>
      <c r="AI93" s="16">
        <f>IF(AM93=0,K93,0)</f>
        <v>0</v>
      </c>
      <c r="AJ93" s="16">
        <f>IF(AM93=15,K93,0)</f>
        <v>0</v>
      </c>
      <c r="AK93" s="16">
        <f>IF(AM93=21,K93,0)</f>
        <v>0</v>
      </c>
      <c r="AM93" s="28">
        <v>21</v>
      </c>
      <c r="AN93" s="28">
        <f>H93*0</f>
        <v>0</v>
      </c>
      <c r="AO93" s="28">
        <f>H93*(1-0)</f>
        <v>0</v>
      </c>
      <c r="AP93" s="23" t="s">
        <v>13</v>
      </c>
      <c r="AU93" s="28">
        <f>AV93+AW93</f>
        <v>0</v>
      </c>
      <c r="AV93" s="28">
        <f>G93*AN93</f>
        <v>0</v>
      </c>
      <c r="AW93" s="28">
        <f>G93*AO93</f>
        <v>0</v>
      </c>
      <c r="AX93" s="29" t="s">
        <v>270</v>
      </c>
      <c r="AY93" s="29" t="s">
        <v>276</v>
      </c>
      <c r="AZ93" s="24" t="s">
        <v>277</v>
      </c>
      <c r="BB93" s="28">
        <f>AV93+AW93</f>
        <v>0</v>
      </c>
      <c r="BC93" s="28">
        <f>H93/(100-BD93)*100</f>
        <v>0</v>
      </c>
      <c r="BD93" s="28">
        <v>0</v>
      </c>
      <c r="BE93" s="28">
        <f>93</f>
        <v>93</v>
      </c>
      <c r="BG93" s="16">
        <f>G93*AN93</f>
        <v>0</v>
      </c>
      <c r="BH93" s="16">
        <f>G93*AO93</f>
        <v>0</v>
      </c>
      <c r="BI93" s="16">
        <f>G93*H93</f>
        <v>0</v>
      </c>
    </row>
    <row r="94" spans="1:11" ht="12.75">
      <c r="A94" s="72"/>
      <c r="B94" s="72"/>
      <c r="C94" s="151" t="s">
        <v>207</v>
      </c>
      <c r="D94" s="152"/>
      <c r="E94" s="152"/>
      <c r="F94" s="72"/>
      <c r="G94" s="72"/>
      <c r="H94" s="72"/>
      <c r="I94" s="72"/>
      <c r="J94" s="72"/>
      <c r="K94" s="72"/>
    </row>
    <row r="95" spans="1:11" ht="12.75">
      <c r="A95" s="72"/>
      <c r="B95" s="72"/>
      <c r="C95" s="154" t="s">
        <v>208</v>
      </c>
      <c r="D95" s="147"/>
      <c r="E95" s="147"/>
      <c r="F95" s="72"/>
      <c r="G95" s="66">
        <v>0</v>
      </c>
      <c r="H95" s="72"/>
      <c r="I95" s="72"/>
      <c r="J95" s="72"/>
      <c r="K95" s="72"/>
    </row>
    <row r="96" spans="1:11" ht="12.75">
      <c r="A96" s="72"/>
      <c r="B96" s="72"/>
      <c r="C96" s="154" t="s">
        <v>160</v>
      </c>
      <c r="D96" s="147"/>
      <c r="E96" s="147"/>
      <c r="F96" s="72"/>
      <c r="G96" s="66">
        <v>2.7</v>
      </c>
      <c r="H96" s="72"/>
      <c r="I96" s="72"/>
      <c r="J96" s="72"/>
      <c r="K96" s="72"/>
    </row>
    <row r="97" spans="1:46" ht="12.75">
      <c r="A97" s="5"/>
      <c r="B97" s="13" t="s">
        <v>119</v>
      </c>
      <c r="C97" s="155" t="s">
        <v>209</v>
      </c>
      <c r="D97" s="156"/>
      <c r="E97" s="156"/>
      <c r="F97" s="5" t="s">
        <v>6</v>
      </c>
      <c r="G97" s="5" t="s">
        <v>6</v>
      </c>
      <c r="H97" s="5" t="s">
        <v>6</v>
      </c>
      <c r="I97" s="31">
        <f>SUM(I98:I108)</f>
        <v>0</v>
      </c>
      <c r="J97" s="31">
        <f>SUM(J98:J108)</f>
        <v>0</v>
      </c>
      <c r="K97" s="31">
        <f>SUM(K98:K108)</f>
        <v>0</v>
      </c>
      <c r="AH97" s="24"/>
      <c r="AR97" s="31">
        <f>SUM(AI98:AI108)</f>
        <v>0</v>
      </c>
      <c r="AS97" s="31">
        <f>SUM(AJ98:AJ108)</f>
        <v>0</v>
      </c>
      <c r="AT97" s="31">
        <f>SUM(AK98:AK108)</f>
        <v>0</v>
      </c>
    </row>
    <row r="98" spans="1:61" ht="12.75">
      <c r="A98" s="73" t="s">
        <v>57</v>
      </c>
      <c r="B98" s="73" t="s">
        <v>120</v>
      </c>
      <c r="C98" s="149" t="s">
        <v>210</v>
      </c>
      <c r="D98" s="150"/>
      <c r="E98" s="150"/>
      <c r="F98" s="73" t="s">
        <v>235</v>
      </c>
      <c r="G98" s="74">
        <v>750.64</v>
      </c>
      <c r="H98" s="75">
        <v>0</v>
      </c>
      <c r="I98" s="75">
        <f>G98*AN98</f>
        <v>0</v>
      </c>
      <c r="J98" s="75">
        <f>G98*AO98</f>
        <v>0</v>
      </c>
      <c r="K98" s="75">
        <f>G98*H98</f>
        <v>0</v>
      </c>
      <c r="Y98" s="28">
        <f>IF(AP98="5",BI98,0)</f>
        <v>0</v>
      </c>
      <c r="AA98" s="28">
        <f>IF(AP98="1",BG98,0)</f>
        <v>0</v>
      </c>
      <c r="AB98" s="28">
        <f>IF(AP98="1",BH98,0)</f>
        <v>0</v>
      </c>
      <c r="AC98" s="28">
        <f>IF(AP98="7",BG98,0)</f>
        <v>0</v>
      </c>
      <c r="AD98" s="28">
        <f>IF(AP98="7",BH98,0)</f>
        <v>0</v>
      </c>
      <c r="AE98" s="28">
        <f>IF(AP98="2",BG98,0)</f>
        <v>0</v>
      </c>
      <c r="AF98" s="28">
        <f>IF(AP98="2",BH98,0)</f>
        <v>0</v>
      </c>
      <c r="AG98" s="28">
        <f>IF(AP98="0",BI98,0)</f>
        <v>0</v>
      </c>
      <c r="AH98" s="24"/>
      <c r="AI98" s="16">
        <f>IF(AM98=0,K98,0)</f>
        <v>0</v>
      </c>
      <c r="AJ98" s="16">
        <f>IF(AM98=15,K98,0)</f>
        <v>0</v>
      </c>
      <c r="AK98" s="16">
        <f>IF(AM98=21,K98,0)</f>
        <v>0</v>
      </c>
      <c r="AM98" s="28">
        <v>21</v>
      </c>
      <c r="AN98" s="28">
        <f>H98*0.0897379964868405</f>
        <v>0</v>
      </c>
      <c r="AO98" s="28">
        <f>H98*(1-0.0897379964868405)</f>
        <v>0</v>
      </c>
      <c r="AP98" s="23" t="s">
        <v>13</v>
      </c>
      <c r="AU98" s="28">
        <f>AV98+AW98</f>
        <v>0</v>
      </c>
      <c r="AV98" s="28">
        <f>G98*AN98</f>
        <v>0</v>
      </c>
      <c r="AW98" s="28">
        <f>G98*AO98</f>
        <v>0</v>
      </c>
      <c r="AX98" s="29" t="s">
        <v>271</v>
      </c>
      <c r="AY98" s="29" t="s">
        <v>276</v>
      </c>
      <c r="AZ98" s="24" t="s">
        <v>277</v>
      </c>
      <c r="BB98" s="28">
        <f>AV98+AW98</f>
        <v>0</v>
      </c>
      <c r="BC98" s="28">
        <f>H98/(100-BD98)*100</f>
        <v>0</v>
      </c>
      <c r="BD98" s="28">
        <v>0</v>
      </c>
      <c r="BE98" s="28">
        <f>98</f>
        <v>98</v>
      </c>
      <c r="BG98" s="16">
        <f>G98*AN98</f>
        <v>0</v>
      </c>
      <c r="BH98" s="16">
        <f>G98*AO98</f>
        <v>0</v>
      </c>
      <c r="BI98" s="16">
        <f>G98*H98</f>
        <v>0</v>
      </c>
    </row>
    <row r="99" spans="1:11" ht="12.75">
      <c r="A99" s="76"/>
      <c r="B99" s="76"/>
      <c r="C99" s="146" t="s">
        <v>211</v>
      </c>
      <c r="D99" s="147"/>
      <c r="E99" s="147"/>
      <c r="F99" s="76"/>
      <c r="G99" s="77">
        <v>0</v>
      </c>
      <c r="H99" s="76"/>
      <c r="I99" s="76"/>
      <c r="J99" s="76"/>
      <c r="K99" s="76"/>
    </row>
    <row r="100" spans="1:11" ht="12.75">
      <c r="A100" s="76"/>
      <c r="B100" s="76"/>
      <c r="C100" s="146" t="s">
        <v>212</v>
      </c>
      <c r="D100" s="147"/>
      <c r="E100" s="147"/>
      <c r="F100" s="76"/>
      <c r="G100" s="77">
        <v>0</v>
      </c>
      <c r="H100" s="76"/>
      <c r="I100" s="76"/>
      <c r="J100" s="76"/>
      <c r="K100" s="76"/>
    </row>
    <row r="101" spans="1:11" ht="12.75">
      <c r="A101" s="76"/>
      <c r="B101" s="76"/>
      <c r="C101" s="146" t="s">
        <v>213</v>
      </c>
      <c r="D101" s="147"/>
      <c r="E101" s="147"/>
      <c r="F101" s="76"/>
      <c r="G101" s="77">
        <v>0</v>
      </c>
      <c r="H101" s="76"/>
      <c r="I101" s="76"/>
      <c r="J101" s="76"/>
      <c r="K101" s="76"/>
    </row>
    <row r="102" spans="1:11" ht="12.75">
      <c r="A102" s="76"/>
      <c r="B102" s="76"/>
      <c r="C102" s="146" t="s">
        <v>214</v>
      </c>
      <c r="D102" s="147"/>
      <c r="E102" s="147"/>
      <c r="F102" s="76"/>
      <c r="G102" s="77">
        <v>0</v>
      </c>
      <c r="H102" s="76"/>
      <c r="I102" s="76"/>
      <c r="J102" s="76"/>
      <c r="K102" s="76"/>
    </row>
    <row r="103" spans="1:11" ht="12.75">
      <c r="A103" s="76"/>
      <c r="B103" s="76"/>
      <c r="C103" s="146" t="s">
        <v>215</v>
      </c>
      <c r="D103" s="147"/>
      <c r="E103" s="147"/>
      <c r="F103" s="76"/>
      <c r="G103" s="77">
        <v>163.44</v>
      </c>
      <c r="H103" s="76"/>
      <c r="I103" s="76"/>
      <c r="J103" s="76"/>
      <c r="K103" s="76"/>
    </row>
    <row r="104" spans="1:11" ht="12.75">
      <c r="A104" s="76"/>
      <c r="B104" s="76"/>
      <c r="C104" s="146" t="s">
        <v>216</v>
      </c>
      <c r="D104" s="147"/>
      <c r="E104" s="147"/>
      <c r="F104" s="76"/>
      <c r="G104" s="77">
        <v>161.12</v>
      </c>
      <c r="H104" s="76"/>
      <c r="I104" s="76"/>
      <c r="J104" s="76"/>
      <c r="K104" s="76"/>
    </row>
    <row r="105" spans="1:11" ht="12.75">
      <c r="A105" s="76"/>
      <c r="B105" s="76"/>
      <c r="C105" s="146" t="s">
        <v>217</v>
      </c>
      <c r="D105" s="147"/>
      <c r="E105" s="147"/>
      <c r="F105" s="76"/>
      <c r="G105" s="77">
        <v>233.2</v>
      </c>
      <c r="H105" s="76"/>
      <c r="I105" s="76"/>
      <c r="J105" s="76"/>
      <c r="K105" s="76"/>
    </row>
    <row r="106" spans="1:11" ht="12.75">
      <c r="A106" s="76"/>
      <c r="B106" s="76"/>
      <c r="C106" s="146" t="s">
        <v>218</v>
      </c>
      <c r="D106" s="147"/>
      <c r="E106" s="147"/>
      <c r="F106" s="76"/>
      <c r="G106" s="77">
        <v>159.6</v>
      </c>
      <c r="H106" s="76"/>
      <c r="I106" s="76"/>
      <c r="J106" s="76"/>
      <c r="K106" s="76"/>
    </row>
    <row r="107" spans="1:11" ht="12.75">
      <c r="A107" s="76"/>
      <c r="B107" s="76"/>
      <c r="C107" s="146" t="s">
        <v>219</v>
      </c>
      <c r="D107" s="147"/>
      <c r="E107" s="147"/>
      <c r="F107" s="76"/>
      <c r="G107" s="77">
        <v>33.28</v>
      </c>
      <c r="H107" s="76"/>
      <c r="I107" s="76"/>
      <c r="J107" s="76"/>
      <c r="K107" s="76"/>
    </row>
    <row r="108" spans="1:61" ht="12.75">
      <c r="A108" s="73" t="s">
        <v>58</v>
      </c>
      <c r="B108" s="73" t="s">
        <v>121</v>
      </c>
      <c r="C108" s="149" t="s">
        <v>220</v>
      </c>
      <c r="D108" s="150"/>
      <c r="E108" s="150"/>
      <c r="F108" s="73" t="s">
        <v>235</v>
      </c>
      <c r="G108" s="74">
        <v>198</v>
      </c>
      <c r="H108" s="75">
        <v>0</v>
      </c>
      <c r="I108" s="75">
        <f>G108*AN108</f>
        <v>0</v>
      </c>
      <c r="J108" s="75">
        <f>G108*AO108</f>
        <v>0</v>
      </c>
      <c r="K108" s="75">
        <f>G108*H108</f>
        <v>0</v>
      </c>
      <c r="Y108" s="28">
        <f>IF(AP108="5",BI108,0)</f>
        <v>0</v>
      </c>
      <c r="AA108" s="28">
        <f>IF(AP108="1",BG108,0)</f>
        <v>0</v>
      </c>
      <c r="AB108" s="28">
        <f>IF(AP108="1",BH108,0)</f>
        <v>0</v>
      </c>
      <c r="AC108" s="28">
        <f>IF(AP108="7",BG108,0)</f>
        <v>0</v>
      </c>
      <c r="AD108" s="28">
        <f>IF(AP108="7",BH108,0)</f>
        <v>0</v>
      </c>
      <c r="AE108" s="28">
        <f>IF(AP108="2",BG108,0)</f>
        <v>0</v>
      </c>
      <c r="AF108" s="28">
        <f>IF(AP108="2",BH108,0)</f>
        <v>0</v>
      </c>
      <c r="AG108" s="28">
        <f>IF(AP108="0",BI108,0)</f>
        <v>0</v>
      </c>
      <c r="AH108" s="24"/>
      <c r="AI108" s="16">
        <f>IF(AM108=0,K108,0)</f>
        <v>0</v>
      </c>
      <c r="AJ108" s="16">
        <f>IF(AM108=15,K108,0)</f>
        <v>0</v>
      </c>
      <c r="AK108" s="16">
        <f>IF(AM108=21,K108,0)</f>
        <v>0</v>
      </c>
      <c r="AM108" s="28">
        <v>21</v>
      </c>
      <c r="AN108" s="28">
        <f>H108*0.627027027027027</f>
        <v>0</v>
      </c>
      <c r="AO108" s="28">
        <f>H108*(1-0.627027027027027)</f>
        <v>0</v>
      </c>
      <c r="AP108" s="23" t="s">
        <v>13</v>
      </c>
      <c r="AU108" s="28">
        <f>AV108+AW108</f>
        <v>0</v>
      </c>
      <c r="AV108" s="28">
        <f>G108*AN108</f>
        <v>0</v>
      </c>
      <c r="AW108" s="28">
        <f>G108*AO108</f>
        <v>0</v>
      </c>
      <c r="AX108" s="29" t="s">
        <v>271</v>
      </c>
      <c r="AY108" s="29" t="s">
        <v>276</v>
      </c>
      <c r="AZ108" s="24" t="s">
        <v>277</v>
      </c>
      <c r="BB108" s="28">
        <f>AV108+AW108</f>
        <v>0</v>
      </c>
      <c r="BC108" s="28">
        <f>H108/(100-BD108)*100</f>
        <v>0</v>
      </c>
      <c r="BD108" s="28">
        <v>0</v>
      </c>
      <c r="BE108" s="28">
        <f>108</f>
        <v>108</v>
      </c>
      <c r="BG108" s="16">
        <f>G108*AN108</f>
        <v>0</v>
      </c>
      <c r="BH108" s="16">
        <f>G108*AO108</f>
        <v>0</v>
      </c>
      <c r="BI108" s="16">
        <f>G108*H108</f>
        <v>0</v>
      </c>
    </row>
    <row r="109" spans="1:11" ht="12.75">
      <c r="A109" s="72"/>
      <c r="B109" s="72"/>
      <c r="C109" s="151" t="s">
        <v>221</v>
      </c>
      <c r="D109" s="152"/>
      <c r="E109" s="152"/>
      <c r="F109" s="72"/>
      <c r="G109" s="72"/>
      <c r="H109" s="72"/>
      <c r="I109" s="72"/>
      <c r="J109" s="72"/>
      <c r="K109" s="72"/>
    </row>
    <row r="110" spans="1:11" ht="12.75">
      <c r="A110" s="76"/>
      <c r="B110" s="76"/>
      <c r="C110" s="146" t="s">
        <v>222</v>
      </c>
      <c r="D110" s="147"/>
      <c r="E110" s="147"/>
      <c r="F110" s="76"/>
      <c r="G110" s="77">
        <v>0</v>
      </c>
      <c r="H110" s="76"/>
      <c r="I110" s="76"/>
      <c r="J110" s="76"/>
      <c r="K110" s="76"/>
    </row>
    <row r="111" spans="1:11" ht="12.75">
      <c r="A111" s="76"/>
      <c r="B111" s="76"/>
      <c r="C111" s="146" t="s">
        <v>214</v>
      </c>
      <c r="D111" s="147"/>
      <c r="E111" s="147"/>
      <c r="F111" s="76"/>
      <c r="G111" s="77">
        <v>0</v>
      </c>
      <c r="H111" s="76"/>
      <c r="I111" s="76"/>
      <c r="J111" s="76"/>
      <c r="K111" s="76"/>
    </row>
    <row r="112" spans="1:11" ht="12.75">
      <c r="A112" s="76"/>
      <c r="B112" s="76"/>
      <c r="C112" s="146" t="s">
        <v>223</v>
      </c>
      <c r="D112" s="147"/>
      <c r="E112" s="147"/>
      <c r="F112" s="76"/>
      <c r="G112" s="77">
        <v>112</v>
      </c>
      <c r="H112" s="76"/>
      <c r="I112" s="76"/>
      <c r="J112" s="76"/>
      <c r="K112" s="76"/>
    </row>
    <row r="113" spans="1:11" ht="12.75">
      <c r="A113" s="76"/>
      <c r="B113" s="76"/>
      <c r="C113" s="146" t="s">
        <v>224</v>
      </c>
      <c r="D113" s="147"/>
      <c r="E113" s="147"/>
      <c r="F113" s="76"/>
      <c r="G113" s="77">
        <v>60</v>
      </c>
      <c r="H113" s="76"/>
      <c r="I113" s="76"/>
      <c r="J113" s="76"/>
      <c r="K113" s="76"/>
    </row>
    <row r="114" spans="1:11" ht="12.75">
      <c r="A114" s="76"/>
      <c r="B114" s="76"/>
      <c r="C114" s="146" t="s">
        <v>225</v>
      </c>
      <c r="D114" s="147"/>
      <c r="E114" s="147"/>
      <c r="F114" s="76"/>
      <c r="G114" s="77">
        <v>0</v>
      </c>
      <c r="H114" s="76"/>
      <c r="I114" s="76"/>
      <c r="J114" s="76"/>
      <c r="K114" s="76"/>
    </row>
    <row r="115" spans="1:11" ht="12.75">
      <c r="A115" s="76"/>
      <c r="B115" s="76"/>
      <c r="C115" s="146" t="s">
        <v>226</v>
      </c>
      <c r="D115" s="147"/>
      <c r="E115" s="147"/>
      <c r="F115" s="76"/>
      <c r="G115" s="77">
        <v>18</v>
      </c>
      <c r="H115" s="76"/>
      <c r="I115" s="76"/>
      <c r="J115" s="76"/>
      <c r="K115" s="76"/>
    </row>
    <row r="116" spans="1:11" ht="12.75">
      <c r="A116" s="76"/>
      <c r="B116" s="76"/>
      <c r="C116" s="146" t="s">
        <v>227</v>
      </c>
      <c r="D116" s="147"/>
      <c r="E116" s="147"/>
      <c r="F116" s="76"/>
      <c r="G116" s="77">
        <v>0</v>
      </c>
      <c r="H116" s="76"/>
      <c r="I116" s="76"/>
      <c r="J116" s="76"/>
      <c r="K116" s="76"/>
    </row>
    <row r="117" spans="1:11" ht="12.75">
      <c r="A117" s="78"/>
      <c r="B117" s="78"/>
      <c r="C117" s="146" t="s">
        <v>228</v>
      </c>
      <c r="D117" s="147"/>
      <c r="E117" s="147"/>
      <c r="F117" s="78"/>
      <c r="G117" s="77">
        <v>8</v>
      </c>
      <c r="H117" s="78"/>
      <c r="I117" s="78"/>
      <c r="J117" s="78"/>
      <c r="K117" s="78"/>
    </row>
    <row r="118" spans="1:11" ht="12.75">
      <c r="A118" s="71"/>
      <c r="B118" s="71"/>
      <c r="C118" s="71"/>
      <c r="D118" s="71"/>
      <c r="E118" s="71"/>
      <c r="F118" s="71"/>
      <c r="G118" s="71"/>
      <c r="H118" s="71"/>
      <c r="I118" s="148" t="s">
        <v>250</v>
      </c>
      <c r="J118" s="114"/>
      <c r="K118" s="38">
        <f>ROUND(K12+K19+K25+K27+K46+K48+K59+K89+K92+K97,0)</f>
        <v>0</v>
      </c>
    </row>
    <row r="119" ht="11.25" customHeight="1">
      <c r="A119" s="9" t="s">
        <v>59</v>
      </c>
    </row>
    <row r="120" spans="1:11" ht="12.75">
      <c r="A120" s="1"/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</sheetData>
  <mergeCells count="136">
    <mergeCell ref="A1:K1"/>
    <mergeCell ref="A2:B3"/>
    <mergeCell ref="C2:C3"/>
    <mergeCell ref="D2:E3"/>
    <mergeCell ref="F2:G3"/>
    <mergeCell ref="H2:H3"/>
    <mergeCell ref="I2:K3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I118:J118"/>
    <mergeCell ref="A120:K120"/>
    <mergeCell ref="C111:E111"/>
    <mergeCell ref="C112:E112"/>
    <mergeCell ref="C113:E113"/>
    <mergeCell ref="C114:E114"/>
    <mergeCell ref="C115:E115"/>
    <mergeCell ref="C116:E116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Monika</cp:lastModifiedBy>
  <cp:lastPrinted>2019-05-16T10:33:26Z</cp:lastPrinted>
  <dcterms:created xsi:type="dcterms:W3CDTF">2019-05-16T10:30:59Z</dcterms:created>
  <dcterms:modified xsi:type="dcterms:W3CDTF">2019-07-02T06:29:15Z</dcterms:modified>
  <cp:category/>
  <cp:version/>
  <cp:contentType/>
  <cp:contentStatus/>
</cp:coreProperties>
</file>