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41280" windowHeight="13548" activeTab="3"/>
  </bookViews>
  <sheets>
    <sheet name="Krycí list rozpočtu" sheetId="3" r:id="rId1"/>
    <sheet name="VORN" sheetId="4" r:id="rId2"/>
    <sheet name="Stavební rozpočet - součet" sheetId="2" r:id="rId3"/>
    <sheet name="Stavební rozpočet" sheetId="1" r:id="rId4"/>
  </sheets>
  <definedNames>
    <definedName name="vorn_sum">'VORN'!$I$36:$I$36</definedName>
  </definedNames>
  <calcPr calcId="162913"/>
</workbook>
</file>

<file path=xl/sharedStrings.xml><?xml version="1.0" encoding="utf-8"?>
<sst xmlns="http://schemas.openxmlformats.org/spreadsheetml/2006/main" count="983" uniqueCount="404">
  <si>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</si>
  <si>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</si>
  <si>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</si>
  <si>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</si>
  <si>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</si>
  <si>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</si>
  <si>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</si>
  <si>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</si>
  <si>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</si>
  <si>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</si>
  <si>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</si>
  <si>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</si>
  <si>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</si>
  <si>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</si>
  <si>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</si>
  <si>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</si>
  <si>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</si>
  <si>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</si>
  <si>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</si>
  <si>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</si>
  <si>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</si>
  <si>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</si>
  <si>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</si>
  <si>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</si>
  <si>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</si>
  <si>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</si>
  <si>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</si>
  <si>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</si>
  <si>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</si>
  <si>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</si>
  <si>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</si>
  <si>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</si>
  <si>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</si>
  <si>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</si>
  <si>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</si>
  <si>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</si>
  <si>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</si>
  <si>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</si>
  <si>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</si>
  <si>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</si>
  <si>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</si>
  <si>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</si>
  <si>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</si>
  <si>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</si>
  <si>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</si>
  <si>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</si>
  <si>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</si>
  <si>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</si>
  <si>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</si>
  <si>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</si>
  <si>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</si>
  <si>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</si>
  <si>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</si>
  <si>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</si>
  <si>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</si>
  <si>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</si>
  <si>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</si>
  <si>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</si>
  <si>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</si>
  <si>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</si>
  <si>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</si>
  <si>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</si>
  <si>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</si>
  <si>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</si>
  <si>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</si>
  <si>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</si>
  <si>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</si>
  <si>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</si>
  <si>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</si>
  <si>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</si>
  <si>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</si>
  <si>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</si>
  <si>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</si>
  <si>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</si>
  <si>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</si>
  <si>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</si>
  <si>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</si>
  <si>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</si>
  <si>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</si>
  <si>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</si>
  <si>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</si>
  <si>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</si>
  <si>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</si>
  <si>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</si>
  <si>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</si>
  <si>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</si>
  <si>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</si>
  <si>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Poznámka:</t>
  </si>
  <si>
    <t>Kód</t>
  </si>
  <si>
    <t>721</t>
  </si>
  <si>
    <t>721220801R00</t>
  </si>
  <si>
    <t>721140915R00</t>
  </si>
  <si>
    <t>72117096XR00</t>
  </si>
  <si>
    <t>721300912R00</t>
  </si>
  <si>
    <t>72117091rR00</t>
  </si>
  <si>
    <t>721140916R00</t>
  </si>
  <si>
    <t>721140926R00</t>
  </si>
  <si>
    <t>721176103R00</t>
  </si>
  <si>
    <t>721176102R00</t>
  </si>
  <si>
    <t>721176115R00</t>
  </si>
  <si>
    <t>72117610rR00</t>
  </si>
  <si>
    <t>721176125R00</t>
  </si>
  <si>
    <t>721194104R00</t>
  </si>
  <si>
    <t>721194105R00</t>
  </si>
  <si>
    <t>721194109R00</t>
  </si>
  <si>
    <t>72127320rRT3</t>
  </si>
  <si>
    <t>721290111R00</t>
  </si>
  <si>
    <t>998721103R00</t>
  </si>
  <si>
    <t>722</t>
  </si>
  <si>
    <t>722172311R00</t>
  </si>
  <si>
    <t>722172312R00</t>
  </si>
  <si>
    <t>722181213RT7</t>
  </si>
  <si>
    <t>722181213RW2</t>
  </si>
  <si>
    <t>722190403R00</t>
  </si>
  <si>
    <t>722239103R00</t>
  </si>
  <si>
    <t>722290226R00</t>
  </si>
  <si>
    <t>722290234R00</t>
  </si>
  <si>
    <t>55162000r</t>
  </si>
  <si>
    <t>722239101R00</t>
  </si>
  <si>
    <t>55162001r</t>
  </si>
  <si>
    <t>722172613R00</t>
  </si>
  <si>
    <t>722172614R00</t>
  </si>
  <si>
    <t>722172631R00</t>
  </si>
  <si>
    <t>722172633R00</t>
  </si>
  <si>
    <t>722181214RT7</t>
  </si>
  <si>
    <t>722181214RW2</t>
  </si>
  <si>
    <t>722235652R00</t>
  </si>
  <si>
    <t>722238612R00</t>
  </si>
  <si>
    <t>722238112R00</t>
  </si>
  <si>
    <t>722130801R00</t>
  </si>
  <si>
    <t>998722103R00</t>
  </si>
  <si>
    <t>725</t>
  </si>
  <si>
    <t>725110811R00</t>
  </si>
  <si>
    <t>725210821R00</t>
  </si>
  <si>
    <t>725810811R00</t>
  </si>
  <si>
    <t>725119306R00</t>
  </si>
  <si>
    <t>725219401R00</t>
  </si>
  <si>
    <t>725819401R00</t>
  </si>
  <si>
    <t>725860213R00</t>
  </si>
  <si>
    <t>725819201R00</t>
  </si>
  <si>
    <t>286967562</t>
  </si>
  <si>
    <t>72553610rR00</t>
  </si>
  <si>
    <t>725530831R00</t>
  </si>
  <si>
    <t>64213637</t>
  </si>
  <si>
    <t>725860222RT1</t>
  </si>
  <si>
    <t>72513080rR00</t>
  </si>
  <si>
    <t>725240812R00</t>
  </si>
  <si>
    <t>725820802R00</t>
  </si>
  <si>
    <t>725820801R00</t>
  </si>
  <si>
    <t>725249102R00</t>
  </si>
  <si>
    <t>725536333R00</t>
  </si>
  <si>
    <t>725829202R00</t>
  </si>
  <si>
    <t>725849200R00</t>
  </si>
  <si>
    <t>725122231R00</t>
  </si>
  <si>
    <t>64214360</t>
  </si>
  <si>
    <t>642938005</t>
  </si>
  <si>
    <t>55144133</t>
  </si>
  <si>
    <t>55428080r</t>
  </si>
  <si>
    <t>725249103R00</t>
  </si>
  <si>
    <t>5514401r</t>
  </si>
  <si>
    <t>725860109R00</t>
  </si>
  <si>
    <t>725860167R00</t>
  </si>
  <si>
    <t>998725103R00</t>
  </si>
  <si>
    <t>S</t>
  </si>
  <si>
    <t>979011219R00</t>
  </si>
  <si>
    <t>979011211R00</t>
  </si>
  <si>
    <t>979082111R00</t>
  </si>
  <si>
    <t>979082121R00</t>
  </si>
  <si>
    <t>979081111R00</t>
  </si>
  <si>
    <t>979081121R00</t>
  </si>
  <si>
    <t>979095312R00</t>
  </si>
  <si>
    <t>979990001R00</t>
  </si>
  <si>
    <t>Oprava rozvodů vody - zámek Vyškov</t>
  </si>
  <si>
    <t>b.Hygienické zařízení - ZTI</t>
  </si>
  <si>
    <t>náměstí Čsl.armády 475/2, Vyškov - Město, 682 01</t>
  </si>
  <si>
    <t>Zkrácený popis / Varianta</t>
  </si>
  <si>
    <t>Rozměry</t>
  </si>
  <si>
    <t>Vnitřní kanalizace</t>
  </si>
  <si>
    <t>Demontáž zápachové uzávěrky DN 70</t>
  </si>
  <si>
    <t>;1:NP;1   </t>
  </si>
  <si>
    <t>;2.NP kancelář;1   </t>
  </si>
  <si>
    <t>;3.NP chodba;1   </t>
  </si>
  <si>
    <t>Oprava-propoj.dosavadního potrubí litinového DN100</t>
  </si>
  <si>
    <t>Oprava - propojení dosavadního potrubí PVC D 40</t>
  </si>
  <si>
    <t>Pročištění svislých odpadů, jedno podl., do DN 200</t>
  </si>
  <si>
    <t>;1:NP;2   </t>
  </si>
  <si>
    <t>;2.NP soc;1   </t>
  </si>
  <si>
    <t>Oprava - propojení dosavadního potrubí PVC DN 50</t>
  </si>
  <si>
    <t>Oprava-propoj.dosavadního potrubí litinového DN125</t>
  </si>
  <si>
    <t>;2.NP soc;   </t>
  </si>
  <si>
    <t>;vsazení odbočky do potr litinového;1   </t>
  </si>
  <si>
    <t>;propoj dosav. potr.;1   </t>
  </si>
  <si>
    <t>Oprava potrubí litinového, krácení trub DN 125</t>
  </si>
  <si>
    <t>;2.NP soc;2   </t>
  </si>
  <si>
    <t>Potrubí HT připojovací D 50 x 1,8 mm</t>
  </si>
  <si>
    <t>Potrubí HT připojovací D 40 x 1,8 mm</t>
  </si>
  <si>
    <t>Potrubí HT odpadní svislé D 110 x 2,7 mm</t>
  </si>
  <si>
    <t>;2.NP soc;6,0   </t>
  </si>
  <si>
    <t>Potrubí HT svodné (ležaté) v zemi D 50 x 1,8 mm</t>
  </si>
  <si>
    <t>Potrubí HT svodné (ležaté) v zemi D 110 x 2,7 mm</t>
  </si>
  <si>
    <t>Vyvedení odpadních výpustek D 40 x 1,8</t>
  </si>
  <si>
    <t>Vyvedení odpadních výpustek D 50 x 1,8</t>
  </si>
  <si>
    <t>;2.NP soc;3   </t>
  </si>
  <si>
    <t>Vyvedení odpadních výpustek D 110 x 2,3</t>
  </si>
  <si>
    <t>Souprava ventilační střešní HL</t>
  </si>
  <si>
    <t>souprava větrací hlavice PP HL810  D 125 mm</t>
  </si>
  <si>
    <t>Zkouška těsnosti kanalizace vodou DN 125</t>
  </si>
  <si>
    <t>;2.NP soc;20,0   </t>
  </si>
  <si>
    <t>Přesun hmot pro vnitřní kanalizaci, výšky do 24 m</t>
  </si>
  <si>
    <t>Vnitřní vodovod</t>
  </si>
  <si>
    <t>Potrubí z PPR, studená, D 20x2,8 mm, vč.zed.výpom.</t>
  </si>
  <si>
    <t>;1.NP;2   </t>
  </si>
  <si>
    <t>;2.NP kancelář;2,5   </t>
  </si>
  <si>
    <t>;3.NP chodba;2,0   </t>
  </si>
  <si>
    <t>;2.NP soc;8,5   </t>
  </si>
  <si>
    <t>Potrubí z PPR, studená, D 25x3,5 mm, vč.zed.výpom.</t>
  </si>
  <si>
    <t>;1.NP;5,5   </t>
  </si>
  <si>
    <t>Izolace návleková  PRO tl. stěny 13 mm</t>
  </si>
  <si>
    <t>vnitřní průměr 22 mm</t>
  </si>
  <si>
    <t>;2.NP;2   </t>
  </si>
  <si>
    <t>;2.NP soc;11,5   </t>
  </si>
  <si>
    <t>vnitřní průměr 45 mm</t>
  </si>
  <si>
    <t>;2.NP soc;11,0   </t>
  </si>
  <si>
    <t>Vyvedení a upevnění výpustek DN 25</t>
  </si>
  <si>
    <t>;2.NP kancelář;2   </t>
  </si>
  <si>
    <t>;3.NP chodba;2   </t>
  </si>
  <si>
    <t>Montáž vodovodních armatur 2závity, G 1</t>
  </si>
  <si>
    <t>Zkouška tlaku potrubí závitového DN 50</t>
  </si>
  <si>
    <t>;1.NP;7,5   </t>
  </si>
  <si>
    <t>;2.NP soc;32,5   </t>
  </si>
  <si>
    <t>Proplach a dezinfekce vodovod.potrubí DN 80</t>
  </si>
  <si>
    <t>Podomítkový ventil DN 25</t>
  </si>
  <si>
    <t>;1.NP;1   </t>
  </si>
  <si>
    <t>Montáž vodovodních armatur 2závity, G 1/2</t>
  </si>
  <si>
    <t>Podomítkový ventil DN 15</t>
  </si>
  <si>
    <t>;2.NP kancelař;1   </t>
  </si>
  <si>
    <t>Potrubí z PPR Instaplast, studená, D 32x4,4 mm</t>
  </si>
  <si>
    <t>;2.NP soc;3,0   </t>
  </si>
  <si>
    <t>Potrubí z PPR Instaplast, studená, D 40x5,5 mm</t>
  </si>
  <si>
    <t>Potrubí z PPR Instaplast, teplá, D 20x3,4 mm</t>
  </si>
  <si>
    <t>Potrubí z PPR Instaplast, teplá, D 32x5,4 mm</t>
  </si>
  <si>
    <t>;2.NP soc;4,0   </t>
  </si>
  <si>
    <t>Izolace návleková  PRO tl. stěny 20 mm</t>
  </si>
  <si>
    <t>;2.NP soc;6   </t>
  </si>
  <si>
    <t>;2.NP soc;11   </t>
  </si>
  <si>
    <t>Ventil vod.zpětný  DN 20</t>
  </si>
  <si>
    <t>Ventil vod.zpět,2xvnitř.závit  DN 20</t>
  </si>
  <si>
    <t>Kohout vod.kul.,2xvnitř.závit  DN 20</t>
  </si>
  <si>
    <t>Demontáž potrubí ocelových závitových DN 25</t>
  </si>
  <si>
    <t>;2.NP soc;47,3   </t>
  </si>
  <si>
    <t>Přesun hmot pro vnitřní vodovod, výšky do 24 m</t>
  </si>
  <si>
    <t>Zařizovací předměty</t>
  </si>
  <si>
    <t>Demontáž klozetů splachovacích</t>
  </si>
  <si>
    <t>Demontáž umyvadel bez výtokových armatur</t>
  </si>
  <si>
    <t>Demontáž ventilu výtokového nástěnného</t>
  </si>
  <si>
    <t>Montáž klozetu závěsného</t>
  </si>
  <si>
    <t>Montáž umyvadel na šrouby do zdiva</t>
  </si>
  <si>
    <t>;2.NP kancel;1   </t>
  </si>
  <si>
    <t>Montáž ventilu rohového s trubičkou G 1/2</t>
  </si>
  <si>
    <t>Sifon umyvadlový HL132, D 32, 40 mm</t>
  </si>
  <si>
    <t>Montáž ventilu nástěnného  G 1/2</t>
  </si>
  <si>
    <t>Modul-WC Kombifix ovl.zepředu, odsá,UP320,h=108 cm</t>
  </si>
  <si>
    <t>Ohřívač elektr. zásob. beztl.  EO 05</t>
  </si>
  <si>
    <t>vč. baterie umyvadlové</t>
  </si>
  <si>
    <t>Demontáž, zásobník elektrický průtokový</t>
  </si>
  <si>
    <t>vč. baterie</t>
  </si>
  <si>
    <t>Umyvadlo  65x52 cm s otvorem pro baterii</t>
  </si>
  <si>
    <t>Sifon sprchový PP HL514SN, D 40/50 mm</t>
  </si>
  <si>
    <t>samočisticí, stavitelný odpad 6/4 ", krytka nerez</t>
  </si>
  <si>
    <t>Demontáž pisoárového záchodku</t>
  </si>
  <si>
    <t>Demontáž sprchových mís bez výtokových armatur</t>
  </si>
  <si>
    <t>Demontáž baterie stojánkové do 1otvoru</t>
  </si>
  <si>
    <t>Demontáž baterie nástěnné do G 3/4</t>
  </si>
  <si>
    <t>Montáž sprchových mís a vaniček</t>
  </si>
  <si>
    <t>Ohřívač elek. zásobníkový závěsný ELOV 80</t>
  </si>
  <si>
    <t>Montáž baterie umyv.a dřezové nástěnné</t>
  </si>
  <si>
    <t>Montáž baterií sprchových, nastavitelná výška</t>
  </si>
  <si>
    <t>Pisoár  s radarovým splachovačem, SLP</t>
  </si>
  <si>
    <t>Umyvadlo bez otv. bater. 600x490x195 mm</t>
  </si>
  <si>
    <t>Vanička sprch. keram. čtverec 900x900 mm</t>
  </si>
  <si>
    <t>Baterie sprchová</t>
  </si>
  <si>
    <t>Sprchová zástěna 900mm posuvná</t>
  </si>
  <si>
    <t>Montáž sprchových koutů</t>
  </si>
  <si>
    <t>montáž sprchové zástěny posuvné</t>
  </si>
  <si>
    <t>Baterie umyvadlová nástěnná</t>
  </si>
  <si>
    <t>Uzávěrka zápachová umyvadlová HL 132/40 DN 40</t>
  </si>
  <si>
    <t>Zápachová uzávěrka pro pisoáry HL130, D 32, 40 mm</t>
  </si>
  <si>
    <t>Přesun hmot pro zařizovací předměty, výšky do 24 m</t>
  </si>
  <si>
    <t>Přesuny sutí</t>
  </si>
  <si>
    <t>Přípl.k svislé dopr.suti za každé další NP nošením</t>
  </si>
  <si>
    <t>Svislá doprava suti a vybour. hmot za 2.NP nošením</t>
  </si>
  <si>
    <t>Vnitrostaveništní doprava suti do 10 m</t>
  </si>
  <si>
    <t>Příplatek k vnitrost. dopravě suti za dalších 5 m</t>
  </si>
  <si>
    <t>10*0,460   </t>
  </si>
  <si>
    <t>Odvoz suti a vybour. hmot na skládku do 1 km</t>
  </si>
  <si>
    <t>Příplatek k odvozu za každý další 1 km</t>
  </si>
  <si>
    <t>19*0,460   </t>
  </si>
  <si>
    <t>Naložení a složení suti</t>
  </si>
  <si>
    <t>Poplatek za skládku stavební suti</t>
  </si>
  <si>
    <t>Doba výstavby:</t>
  </si>
  <si>
    <t>Začátek výstavby:</t>
  </si>
  <si>
    <t>Konec výstavby:</t>
  </si>
  <si>
    <t>Zpracováno dne:</t>
  </si>
  <si>
    <t>10.05.2019</t>
  </si>
  <si>
    <t>MJ</t>
  </si>
  <si>
    <t>kus</t>
  </si>
  <si>
    <t>m</t>
  </si>
  <si>
    <t>t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</si>
  <si>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</si>
  <si>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</si>
  <si>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</si>
  <si>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</si>
  <si>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</si>
  <si>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</si>
  <si>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</si>
  <si>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</si>
  <si>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</si>
  <si>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</si>
  <si>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</si>
  <si>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</si>
  <si>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</si>
  <si>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</si>
  <si>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</si>
  <si>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</si>
  <si>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</si>
  <si>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</si>
  <si>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</si>
  <si>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</si>
  <si>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</si>
  <si>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</si>
  <si>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</si>
  <si>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721_</t>
  </si>
  <si>
    <t>722_</t>
  </si>
  <si>
    <t>725_</t>
  </si>
  <si>
    <t>S_</t>
  </si>
  <si>
    <t>72_</t>
  </si>
  <si>
    <t>9_</t>
  </si>
  <si>
    <t>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</si>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</sst>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sz val="10"/>
      <color indexed="59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8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4" fillId="0" borderId="18" xfId="0" applyNumberFormat="1" applyFont="1" applyFill="1" applyBorder="1" applyAlignment="1" applyProtection="1">
      <alignment horizontal="right" vertical="center"/>
      <protection/>
    </xf>
    <xf numFmtId="49" fontId="14" fillId="0" borderId="18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4" fontId="3" fillId="0" borderId="3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9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1" xfId="0" applyNumberFormat="1" applyFont="1" applyFill="1" applyBorder="1" applyAlignment="1" applyProtection="1">
      <alignment horizontal="left" vertical="center"/>
      <protection/>
    </xf>
    <xf numFmtId="49" fontId="14" fillId="0" borderId="32" xfId="0" applyNumberFormat="1" applyFont="1" applyFill="1" applyBorder="1" applyAlignment="1" applyProtection="1">
      <alignment horizontal="left" vertical="center"/>
      <protection/>
    </xf>
    <xf numFmtId="0" fontId="14" fillId="0" borderId="28" xfId="0" applyNumberFormat="1" applyFont="1" applyFill="1" applyBorder="1" applyAlignment="1" applyProtection="1">
      <alignment horizontal="left" vertical="center"/>
      <protection/>
    </xf>
    <xf numFmtId="0" fontId="14" fillId="0" borderId="33" xfId="0" applyNumberFormat="1" applyFont="1" applyFill="1" applyBorder="1" applyAlignment="1" applyProtection="1">
      <alignment horizontal="left" vertical="center"/>
      <protection/>
    </xf>
    <xf numFmtId="49" fontId="13" fillId="3" borderId="34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13" fillId="0" borderId="42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43" xfId="0" applyNumberFormat="1" applyFont="1" applyFill="1" applyBorder="1" applyAlignment="1" applyProtection="1">
      <alignment horizontal="left" vertical="center"/>
      <protection/>
    </xf>
    <xf numFmtId="4" fontId="13" fillId="0" borderId="42" xfId="0" applyNumberFormat="1" applyFont="1" applyFill="1" applyBorder="1" applyAlignment="1" applyProtection="1">
      <alignment horizontal="right" vertical="center"/>
      <protection/>
    </xf>
    <xf numFmtId="0" fontId="13" fillId="0" borderId="27" xfId="0" applyNumberFormat="1" applyFont="1" applyFill="1" applyBorder="1" applyAlignment="1" applyProtection="1">
      <alignment horizontal="right" vertical="center"/>
      <protection/>
    </xf>
    <xf numFmtId="0" fontId="13" fillId="0" borderId="43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" customHeight="1">
      <c r="A1" s="67"/>
      <c r="B1" s="41"/>
      <c r="C1" s="102" t="s">
        <v>363</v>
      </c>
      <c r="D1" s="103"/>
      <c r="E1" s="103"/>
      <c r="F1" s="103"/>
      <c r="G1" s="103"/>
      <c r="H1" s="103"/>
      <c r="I1" s="103"/>
    </row>
    <row r="2" spans="1:10" ht="12.75">
      <c r="A2" s="104" t="s">
        <v>1</v>
      </c>
      <c r="B2" s="105"/>
      <c r="C2" s="106" t="str">
        <f>'Stavební rozpočet'!C2</f>
        <v>Oprava rozvodů vody - zámek Vyškov</v>
      </c>
      <c r="D2" s="107"/>
      <c r="E2" s="109" t="s">
        <v>310</v>
      </c>
      <c r="F2" s="109" t="str">
        <f>'Stavební rozpočet'!I2</f>
        <v> </v>
      </c>
      <c r="G2" s="105"/>
      <c r="H2" s="109" t="s">
        <v>388</v>
      </c>
      <c r="I2" s="110"/>
      <c r="J2" s="27"/>
    </row>
    <row r="3" spans="1:10" ht="12.75">
      <c r="A3" s="96"/>
      <c r="B3" s="73"/>
      <c r="C3" s="108"/>
      <c r="D3" s="108"/>
      <c r="E3" s="73"/>
      <c r="F3" s="73"/>
      <c r="G3" s="73"/>
      <c r="H3" s="73"/>
      <c r="I3" s="99"/>
      <c r="J3" s="27"/>
    </row>
    <row r="4" spans="1:10" ht="12.75">
      <c r="A4" s="95" t="s">
        <v>2</v>
      </c>
      <c r="B4" s="73"/>
      <c r="C4" s="72" t="str">
        <f>'Stavební rozpočet'!C4</f>
        <v>b.Hygienické zařízení - ZTI</v>
      </c>
      <c r="D4" s="73"/>
      <c r="E4" s="72" t="s">
        <v>311</v>
      </c>
      <c r="F4" s="72" t="str">
        <f>'Stavební rozpočet'!I4</f>
        <v> </v>
      </c>
      <c r="G4" s="73"/>
      <c r="H4" s="72" t="s">
        <v>388</v>
      </c>
      <c r="I4" s="98"/>
      <c r="J4" s="27"/>
    </row>
    <row r="5" spans="1:10" ht="12.75">
      <c r="A5" s="96"/>
      <c r="B5" s="73"/>
      <c r="C5" s="73"/>
      <c r="D5" s="73"/>
      <c r="E5" s="73"/>
      <c r="F5" s="73"/>
      <c r="G5" s="73"/>
      <c r="H5" s="73"/>
      <c r="I5" s="99"/>
      <c r="J5" s="27"/>
    </row>
    <row r="6" spans="1:10" ht="12.75">
      <c r="A6" s="95" t="s">
        <v>3</v>
      </c>
      <c r="B6" s="73"/>
      <c r="C6" s="72" t="str">
        <f>'Stavební rozpočet'!C6</f>
        <v>náměstí Čsl.armády 475/2, Vyškov - Město, 682 01</v>
      </c>
      <c r="D6" s="73"/>
      <c r="E6" s="72" t="s">
        <v>312</v>
      </c>
      <c r="F6" s="72" t="str">
        <f>'Stavební rozpočet'!I6</f>
        <v> </v>
      </c>
      <c r="G6" s="73"/>
      <c r="H6" s="72" t="s">
        <v>388</v>
      </c>
      <c r="I6" s="98"/>
      <c r="J6" s="27"/>
    </row>
    <row r="7" spans="1:10" ht="12.75">
      <c r="A7" s="96"/>
      <c r="B7" s="73"/>
      <c r="C7" s="73"/>
      <c r="D7" s="73"/>
      <c r="E7" s="73"/>
      <c r="F7" s="73"/>
      <c r="G7" s="73"/>
      <c r="H7" s="73"/>
      <c r="I7" s="99"/>
      <c r="J7" s="27"/>
    </row>
    <row r="8" spans="1:10" ht="12.75">
      <c r="A8" s="95" t="s">
        <v>300</v>
      </c>
      <c r="B8" s="73"/>
      <c r="C8" s="72" t="str">
        <f>'Stavební rozpočet'!F4</f>
        <v xml:space="preserve"> </v>
      </c>
      <c r="D8" s="73"/>
      <c r="E8" s="72" t="s">
        <v>301</v>
      </c>
      <c r="F8" s="72" t="str">
        <f>'Stavební rozpočet'!F6</f>
        <v xml:space="preserve"> </v>
      </c>
      <c r="G8" s="73"/>
      <c r="H8" s="97" t="s">
        <v>389</v>
      </c>
      <c r="I8" s="98" t="s">
        <v>86</v>
      </c>
      <c r="J8" s="27"/>
    </row>
    <row r="9" spans="1:10" ht="12.75">
      <c r="A9" s="96"/>
      <c r="B9" s="73"/>
      <c r="C9" s="73"/>
      <c r="D9" s="73"/>
      <c r="E9" s="73"/>
      <c r="F9" s="73"/>
      <c r="G9" s="73"/>
      <c r="H9" s="73"/>
      <c r="I9" s="99"/>
      <c r="J9" s="27"/>
    </row>
    <row r="10" spans="1:10" ht="12.75">
      <c r="A10" s="95" t="s">
        <v>4</v>
      </c>
      <c r="B10" s="73"/>
      <c r="C10" s="72" t="str">
        <f>'Stavební rozpočet'!C8</f>
        <v xml:space="preserve"> </v>
      </c>
      <c r="D10" s="73"/>
      <c r="E10" s="72" t="s">
        <v>313</v>
      </c>
      <c r="F10" s="72" t="str">
        <f>'Stavební rozpočet'!I8</f>
        <v> </v>
      </c>
      <c r="G10" s="73"/>
      <c r="H10" s="97" t="s">
        <v>390</v>
      </c>
      <c r="I10" s="93" t="str">
        <f>'Stavební rozpočet'!F8</f>
        <v>10.05.2019</v>
      </c>
      <c r="J10" s="27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94"/>
      <c r="J11" s="27"/>
    </row>
    <row r="12" spans="1:9" ht="23.4" customHeight="1">
      <c r="A12" s="89" t="s">
        <v>348</v>
      </c>
      <c r="B12" s="90"/>
      <c r="C12" s="90"/>
      <c r="D12" s="90"/>
      <c r="E12" s="90"/>
      <c r="F12" s="90"/>
      <c r="G12" s="90"/>
      <c r="H12" s="90"/>
      <c r="I12" s="90"/>
    </row>
    <row r="13" spans="1:10" ht="26.4" customHeight="1">
      <c r="A13" s="42" t="s">
        <v>349</v>
      </c>
      <c r="B13" s="91" t="s">
        <v>361</v>
      </c>
      <c r="C13" s="92"/>
      <c r="D13" s="42" t="s">
        <v>364</v>
      </c>
      <c r="E13" s="91" t="s">
        <v>373</v>
      </c>
      <c r="F13" s="92"/>
      <c r="G13" s="42" t="s">
        <v>374</v>
      </c>
      <c r="H13" s="91" t="s">
        <v>391</v>
      </c>
      <c r="I13" s="92"/>
      <c r="J13" s="27"/>
    </row>
    <row r="14" spans="1:10" ht="15.15" customHeight="1">
      <c r="A14" s="43" t="s">
        <v>350</v>
      </c>
      <c r="B14" s="47" t="s">
        <v>362</v>
      </c>
      <c r="C14" s="51">
        <f>SUM('Stavební rozpočet'!AA12:AA223)</f>
        <v>0</v>
      </c>
      <c r="D14" s="87" t="s">
        <v>365</v>
      </c>
      <c r="E14" s="88"/>
      <c r="F14" s="51">
        <f>VORN!I15</f>
        <v>0</v>
      </c>
      <c r="G14" s="87" t="s">
        <v>375</v>
      </c>
      <c r="H14" s="88"/>
      <c r="I14" s="51">
        <f>VORN!I21</f>
        <v>0</v>
      </c>
      <c r="J14" s="27"/>
    </row>
    <row r="15" spans="1:10" ht="15.15" customHeight="1">
      <c r="A15" s="44"/>
      <c r="B15" s="47" t="s">
        <v>320</v>
      </c>
      <c r="C15" s="51">
        <f>SUM('Stavební rozpočet'!AB12:AB223)</f>
        <v>0</v>
      </c>
      <c r="D15" s="87" t="s">
        <v>366</v>
      </c>
      <c r="E15" s="88"/>
      <c r="F15" s="51">
        <f>VORN!I16</f>
        <v>0</v>
      </c>
      <c r="G15" s="87" t="s">
        <v>376</v>
      </c>
      <c r="H15" s="88"/>
      <c r="I15" s="51">
        <f>VORN!I22</f>
        <v>0</v>
      </c>
      <c r="J15" s="27"/>
    </row>
    <row r="16" spans="1:10" ht="15.15" customHeight="1">
      <c r="A16" s="43" t="s">
        <v>351</v>
      </c>
      <c r="B16" s="47" t="s">
        <v>362</v>
      </c>
      <c r="C16" s="51">
        <f>SUM('Stavební rozpočet'!AC12:AC223)</f>
        <v>0</v>
      </c>
      <c r="D16" s="87" t="s">
        <v>367</v>
      </c>
      <c r="E16" s="88"/>
      <c r="F16" s="51">
        <f>VORN!I17</f>
        <v>0</v>
      </c>
      <c r="G16" s="87" t="s">
        <v>377</v>
      </c>
      <c r="H16" s="88"/>
      <c r="I16" s="51">
        <f>VORN!I23</f>
        <v>0</v>
      </c>
      <c r="J16" s="27"/>
    </row>
    <row r="17" spans="1:10" ht="15.15" customHeight="1">
      <c r="A17" s="44"/>
      <c r="B17" s="47" t="s">
        <v>320</v>
      </c>
      <c r="C17" s="51">
        <f>SUM('Stavební rozpočet'!AD12:AD223)</f>
        <v>0</v>
      </c>
      <c r="D17" s="87"/>
      <c r="E17" s="88"/>
      <c r="F17" s="52"/>
      <c r="G17" s="87" t="s">
        <v>378</v>
      </c>
      <c r="H17" s="88"/>
      <c r="I17" s="51">
        <f>VORN!I24</f>
        <v>0</v>
      </c>
      <c r="J17" s="27"/>
    </row>
    <row r="18" spans="1:10" ht="15.15" customHeight="1">
      <c r="A18" s="43" t="s">
        <v>352</v>
      </c>
      <c r="B18" s="47" t="s">
        <v>362</v>
      </c>
      <c r="C18" s="51">
        <f>SUM('Stavební rozpočet'!AE12:AE223)</f>
        <v>0</v>
      </c>
      <c r="D18" s="87"/>
      <c r="E18" s="88"/>
      <c r="F18" s="52"/>
      <c r="G18" s="87" t="s">
        <v>379</v>
      </c>
      <c r="H18" s="88"/>
      <c r="I18" s="51">
        <f>VORN!I25</f>
        <v>0</v>
      </c>
      <c r="J18" s="27"/>
    </row>
    <row r="19" spans="1:10" ht="15.15" customHeight="1">
      <c r="A19" s="44"/>
      <c r="B19" s="47" t="s">
        <v>320</v>
      </c>
      <c r="C19" s="51">
        <f>SUM('Stavební rozpočet'!AF12:AF223)</f>
        <v>0</v>
      </c>
      <c r="D19" s="87"/>
      <c r="E19" s="88"/>
      <c r="F19" s="52"/>
      <c r="G19" s="87" t="s">
        <v>380</v>
      </c>
      <c r="H19" s="88"/>
      <c r="I19" s="51">
        <f>VORN!I26</f>
        <v>0</v>
      </c>
      <c r="J19" s="27"/>
    </row>
    <row r="20" spans="1:10" ht="15.15" customHeight="1">
      <c r="A20" s="85" t="s">
        <v>353</v>
      </c>
      <c r="B20" s="86"/>
      <c r="C20" s="51">
        <f>SUM('Stavební rozpočet'!AG12:AG223)</f>
        <v>0</v>
      </c>
      <c r="D20" s="87"/>
      <c r="E20" s="88"/>
      <c r="F20" s="52"/>
      <c r="G20" s="87"/>
      <c r="H20" s="88"/>
      <c r="I20" s="52"/>
      <c r="J20" s="27"/>
    </row>
    <row r="21" spans="1:10" ht="15.15" customHeight="1">
      <c r="A21" s="85" t="s">
        <v>354</v>
      </c>
      <c r="B21" s="86"/>
      <c r="C21" s="51">
        <f>SUM('Stavební rozpočet'!Y12:Y223)</f>
        <v>0</v>
      </c>
      <c r="D21" s="87"/>
      <c r="E21" s="88"/>
      <c r="F21" s="52"/>
      <c r="G21" s="87"/>
      <c r="H21" s="88"/>
      <c r="I21" s="52"/>
      <c r="J21" s="27"/>
    </row>
    <row r="22" spans="1:10" ht="16.65" customHeight="1">
      <c r="A22" s="85" t="s">
        <v>355</v>
      </c>
      <c r="B22" s="86"/>
      <c r="C22" s="51">
        <f>ROUND(SUM(C14:C21),0)</f>
        <v>0</v>
      </c>
      <c r="D22" s="85" t="s">
        <v>368</v>
      </c>
      <c r="E22" s="86"/>
      <c r="F22" s="51">
        <f>SUM(F14:F21)</f>
        <v>0</v>
      </c>
      <c r="G22" s="85" t="s">
        <v>381</v>
      </c>
      <c r="H22" s="86"/>
      <c r="I22" s="51">
        <f>SUM(I14:I21)</f>
        <v>0</v>
      </c>
      <c r="J22" s="27"/>
    </row>
    <row r="23" spans="1:10" ht="15.15" customHeight="1">
      <c r="A23" s="8"/>
      <c r="B23" s="8"/>
      <c r="C23" s="49"/>
      <c r="D23" s="85" t="s">
        <v>369</v>
      </c>
      <c r="E23" s="86"/>
      <c r="F23" s="53">
        <v>0</v>
      </c>
      <c r="G23" s="85" t="s">
        <v>382</v>
      </c>
      <c r="H23" s="86"/>
      <c r="I23" s="51">
        <v>0</v>
      </c>
      <c r="J23" s="27"/>
    </row>
    <row r="24" spans="4:10" ht="15.15" customHeight="1">
      <c r="D24" s="8"/>
      <c r="E24" s="8"/>
      <c r="F24" s="54"/>
      <c r="G24" s="85" t="s">
        <v>383</v>
      </c>
      <c r="H24" s="86"/>
      <c r="I24" s="51">
        <f>vorn_sum</f>
        <v>0</v>
      </c>
      <c r="J24" s="27"/>
    </row>
    <row r="25" spans="6:10" ht="15.15" customHeight="1">
      <c r="F25" s="55"/>
      <c r="G25" s="85" t="s">
        <v>384</v>
      </c>
      <c r="H25" s="86"/>
      <c r="I25" s="51">
        <v>0</v>
      </c>
      <c r="J25" s="27"/>
    </row>
    <row r="26" spans="1:9" ht="12.75">
      <c r="A26" s="41"/>
      <c r="B26" s="41"/>
      <c r="C26" s="41"/>
      <c r="G26" s="8"/>
      <c r="H26" s="8"/>
      <c r="I26" s="8"/>
    </row>
    <row r="27" spans="1:9" ht="15.15" customHeight="1">
      <c r="A27" s="80" t="s">
        <v>356</v>
      </c>
      <c r="B27" s="81"/>
      <c r="C27" s="56">
        <f>ROUND(SUM('Stavební rozpočet'!AI12:AI223),0)</f>
        <v>0</v>
      </c>
      <c r="D27" s="50"/>
      <c r="E27" s="41"/>
      <c r="F27" s="41"/>
      <c r="G27" s="41"/>
      <c r="H27" s="41"/>
      <c r="I27" s="41"/>
    </row>
    <row r="28" spans="1:10" ht="15.15" customHeight="1">
      <c r="A28" s="80" t="s">
        <v>357</v>
      </c>
      <c r="B28" s="81"/>
      <c r="C28" s="56">
        <f>ROUND(SUM('Stavební rozpočet'!AJ12:AJ223),0)</f>
        <v>0</v>
      </c>
      <c r="D28" s="80" t="s">
        <v>370</v>
      </c>
      <c r="E28" s="81"/>
      <c r="F28" s="56">
        <f>ROUND(C28*(15/100),2)</f>
        <v>0</v>
      </c>
      <c r="G28" s="80" t="s">
        <v>385</v>
      </c>
      <c r="H28" s="81"/>
      <c r="I28" s="56">
        <f>ROUND(SUM(C27:C29),0)</f>
        <v>0</v>
      </c>
      <c r="J28" s="27"/>
    </row>
    <row r="29" spans="1:10" ht="15.15" customHeight="1">
      <c r="A29" s="80" t="s">
        <v>358</v>
      </c>
      <c r="B29" s="81"/>
      <c r="C29" s="56">
        <f>ROUND(SUM('Stavební rozpočet'!AK12:AK223)+(F22+I22+F23+I23+I24+I25),0)</f>
        <v>0</v>
      </c>
      <c r="D29" s="80" t="s">
        <v>371</v>
      </c>
      <c r="E29" s="81"/>
      <c r="F29" s="56">
        <f>ROUND(C29*(21/100),2)</f>
        <v>0</v>
      </c>
      <c r="G29" s="80" t="s">
        <v>386</v>
      </c>
      <c r="H29" s="81"/>
      <c r="I29" s="56">
        <f>ROUND(SUM(F28:F29)+I28,0)</f>
        <v>0</v>
      </c>
      <c r="J29" s="27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1" spans="1:10" ht="14.4" customHeight="1">
      <c r="A31" s="82" t="s">
        <v>359</v>
      </c>
      <c r="B31" s="83"/>
      <c r="C31" s="84"/>
      <c r="D31" s="82" t="s">
        <v>372</v>
      </c>
      <c r="E31" s="83"/>
      <c r="F31" s="84"/>
      <c r="G31" s="82" t="s">
        <v>387</v>
      </c>
      <c r="H31" s="83"/>
      <c r="I31" s="84"/>
      <c r="J31" s="28"/>
    </row>
    <row r="32" spans="1:10" ht="14.4" customHeight="1">
      <c r="A32" s="74"/>
      <c r="B32" s="75"/>
      <c r="C32" s="76"/>
      <c r="D32" s="74"/>
      <c r="E32" s="75"/>
      <c r="F32" s="76"/>
      <c r="G32" s="74"/>
      <c r="H32" s="75"/>
      <c r="I32" s="76"/>
      <c r="J32" s="28"/>
    </row>
    <row r="33" spans="1:10" ht="14.4" customHeight="1">
      <c r="A33" s="74"/>
      <c r="B33" s="75"/>
      <c r="C33" s="76"/>
      <c r="D33" s="74"/>
      <c r="E33" s="75"/>
      <c r="F33" s="76"/>
      <c r="G33" s="74"/>
      <c r="H33" s="75"/>
      <c r="I33" s="76"/>
      <c r="J33" s="28"/>
    </row>
    <row r="34" spans="1:10" ht="14.4" customHeight="1">
      <c r="A34" s="74"/>
      <c r="B34" s="75"/>
      <c r="C34" s="76"/>
      <c r="D34" s="74"/>
      <c r="E34" s="75"/>
      <c r="F34" s="76"/>
      <c r="G34" s="74"/>
      <c r="H34" s="75"/>
      <c r="I34" s="76"/>
      <c r="J34" s="28"/>
    </row>
    <row r="35" spans="1:10" ht="14.4" customHeight="1">
      <c r="A35" s="77" t="s">
        <v>360</v>
      </c>
      <c r="B35" s="78"/>
      <c r="C35" s="79"/>
      <c r="D35" s="77" t="s">
        <v>360</v>
      </c>
      <c r="E35" s="78"/>
      <c r="F35" s="79"/>
      <c r="G35" s="77" t="s">
        <v>360</v>
      </c>
      <c r="H35" s="78"/>
      <c r="I35" s="79"/>
      <c r="J35" s="28"/>
    </row>
    <row r="36" spans="1:9" ht="11.25" customHeight="1">
      <c r="A36" s="46" t="s">
        <v>87</v>
      </c>
      <c r="B36" s="48"/>
      <c r="C36" s="48"/>
      <c r="D36" s="48"/>
      <c r="E36" s="48"/>
      <c r="F36" s="48"/>
      <c r="G36" s="48"/>
      <c r="H36" s="48"/>
      <c r="I36" s="48"/>
    </row>
    <row r="37" spans="1:9" ht="12.75">
      <c r="A37" s="72"/>
      <c r="B37" s="73"/>
      <c r="C37" s="73"/>
      <c r="D37" s="73"/>
      <c r="E37" s="73"/>
      <c r="F37" s="73"/>
      <c r="G37" s="73"/>
      <c r="H37" s="73"/>
      <c r="I37" s="73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7874015748031497" right="0.1968503937007874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9" customHeight="1">
      <c r="A1" s="67"/>
      <c r="B1" s="41"/>
      <c r="C1" s="102" t="s">
        <v>400</v>
      </c>
      <c r="D1" s="103"/>
      <c r="E1" s="103"/>
      <c r="F1" s="103"/>
      <c r="G1" s="103"/>
      <c r="H1" s="103"/>
      <c r="I1" s="103"/>
    </row>
    <row r="2" spans="1:10" ht="12.75">
      <c r="A2" s="104" t="s">
        <v>1</v>
      </c>
      <c r="B2" s="105"/>
      <c r="C2" s="106" t="str">
        <f>'Stavební rozpočet'!C2</f>
        <v>Oprava rozvodů vody - zámek Vyškov</v>
      </c>
      <c r="D2" s="107"/>
      <c r="E2" s="109" t="s">
        <v>310</v>
      </c>
      <c r="F2" s="109" t="str">
        <f>'Stavební rozpočet'!I2</f>
        <v> </v>
      </c>
      <c r="G2" s="105"/>
      <c r="H2" s="109" t="s">
        <v>388</v>
      </c>
      <c r="I2" s="110"/>
      <c r="J2" s="27"/>
    </row>
    <row r="3" spans="1:10" ht="12.75">
      <c r="A3" s="96"/>
      <c r="B3" s="73"/>
      <c r="C3" s="108"/>
      <c r="D3" s="108"/>
      <c r="E3" s="73"/>
      <c r="F3" s="73"/>
      <c r="G3" s="73"/>
      <c r="H3" s="73"/>
      <c r="I3" s="99"/>
      <c r="J3" s="27"/>
    </row>
    <row r="4" spans="1:10" ht="12.75">
      <c r="A4" s="95" t="s">
        <v>2</v>
      </c>
      <c r="B4" s="73"/>
      <c r="C4" s="72" t="str">
        <f>'Stavební rozpočet'!C4</f>
        <v>b.Hygienické zařízení - ZTI</v>
      </c>
      <c r="D4" s="73"/>
      <c r="E4" s="72" t="s">
        <v>311</v>
      </c>
      <c r="F4" s="72" t="str">
        <f>'Stavební rozpočet'!I4</f>
        <v> </v>
      </c>
      <c r="G4" s="73"/>
      <c r="H4" s="72" t="s">
        <v>388</v>
      </c>
      <c r="I4" s="98"/>
      <c r="J4" s="27"/>
    </row>
    <row r="5" spans="1:10" ht="12.75">
      <c r="A5" s="96"/>
      <c r="B5" s="73"/>
      <c r="C5" s="73"/>
      <c r="D5" s="73"/>
      <c r="E5" s="73"/>
      <c r="F5" s="73"/>
      <c r="G5" s="73"/>
      <c r="H5" s="73"/>
      <c r="I5" s="99"/>
      <c r="J5" s="27"/>
    </row>
    <row r="6" spans="1:10" ht="12.75">
      <c r="A6" s="95" t="s">
        <v>3</v>
      </c>
      <c r="B6" s="73"/>
      <c r="C6" s="72" t="str">
        <f>'Stavební rozpočet'!C6</f>
        <v>náměstí Čsl.armády 475/2, Vyškov - Město, 682 01</v>
      </c>
      <c r="D6" s="73"/>
      <c r="E6" s="72" t="s">
        <v>312</v>
      </c>
      <c r="F6" s="72" t="str">
        <f>'Stavební rozpočet'!I6</f>
        <v> </v>
      </c>
      <c r="G6" s="73"/>
      <c r="H6" s="72" t="s">
        <v>388</v>
      </c>
      <c r="I6" s="98"/>
      <c r="J6" s="27"/>
    </row>
    <row r="7" spans="1:10" ht="12.75">
      <c r="A7" s="96"/>
      <c r="B7" s="73"/>
      <c r="C7" s="73"/>
      <c r="D7" s="73"/>
      <c r="E7" s="73"/>
      <c r="F7" s="73"/>
      <c r="G7" s="73"/>
      <c r="H7" s="73"/>
      <c r="I7" s="99"/>
      <c r="J7" s="27"/>
    </row>
    <row r="8" spans="1:10" ht="12.75">
      <c r="A8" s="95" t="s">
        <v>300</v>
      </c>
      <c r="B8" s="73"/>
      <c r="C8" s="72" t="str">
        <f>'Stavební rozpočet'!F4</f>
        <v xml:space="preserve"> </v>
      </c>
      <c r="D8" s="73"/>
      <c r="E8" s="72" t="s">
        <v>301</v>
      </c>
      <c r="F8" s="72" t="str">
        <f>'Stavební rozpočet'!F6</f>
        <v xml:space="preserve"> </v>
      </c>
      <c r="G8" s="73"/>
      <c r="H8" s="97" t="s">
        <v>389</v>
      </c>
      <c r="I8" s="98" t="s">
        <v>86</v>
      </c>
      <c r="J8" s="27"/>
    </row>
    <row r="9" spans="1:10" ht="12.75">
      <c r="A9" s="96"/>
      <c r="B9" s="73"/>
      <c r="C9" s="73"/>
      <c r="D9" s="73"/>
      <c r="E9" s="73"/>
      <c r="F9" s="73"/>
      <c r="G9" s="73"/>
      <c r="H9" s="73"/>
      <c r="I9" s="99"/>
      <c r="J9" s="27"/>
    </row>
    <row r="10" spans="1:10" ht="12.75">
      <c r="A10" s="95" t="s">
        <v>4</v>
      </c>
      <c r="B10" s="73"/>
      <c r="C10" s="72" t="str">
        <f>'Stavební rozpočet'!C8</f>
        <v xml:space="preserve"> </v>
      </c>
      <c r="D10" s="73"/>
      <c r="E10" s="72" t="s">
        <v>313</v>
      </c>
      <c r="F10" s="72" t="str">
        <f>'Stavební rozpočet'!I8</f>
        <v> </v>
      </c>
      <c r="G10" s="73"/>
      <c r="H10" s="97" t="s">
        <v>390</v>
      </c>
      <c r="I10" s="93" t="str">
        <f>'Stavební rozpočet'!F8</f>
        <v>10.05.2019</v>
      </c>
      <c r="J10" s="27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94"/>
      <c r="J11" s="27"/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5.15" customHeight="1">
      <c r="A13" s="123" t="s">
        <v>392</v>
      </c>
      <c r="B13" s="124"/>
      <c r="C13" s="124"/>
      <c r="D13" s="124"/>
      <c r="E13" s="124"/>
      <c r="F13" s="58"/>
      <c r="G13" s="58"/>
      <c r="H13" s="58"/>
      <c r="I13" s="58"/>
    </row>
    <row r="14" spans="1:10" ht="12.75">
      <c r="A14" s="125" t="s">
        <v>393</v>
      </c>
      <c r="B14" s="126"/>
      <c r="C14" s="126"/>
      <c r="D14" s="126"/>
      <c r="E14" s="127"/>
      <c r="F14" s="59" t="s">
        <v>401</v>
      </c>
      <c r="G14" s="59" t="s">
        <v>402</v>
      </c>
      <c r="H14" s="59" t="s">
        <v>403</v>
      </c>
      <c r="I14" s="59" t="s">
        <v>401</v>
      </c>
      <c r="J14" s="28"/>
    </row>
    <row r="15" spans="1:10" ht="12.75">
      <c r="A15" s="128" t="s">
        <v>365</v>
      </c>
      <c r="B15" s="129"/>
      <c r="C15" s="129"/>
      <c r="D15" s="129"/>
      <c r="E15" s="130"/>
      <c r="F15" s="60">
        <v>0</v>
      </c>
      <c r="G15" s="63"/>
      <c r="H15" s="63"/>
      <c r="I15" s="60">
        <f>F15</f>
        <v>0</v>
      </c>
      <c r="J15" s="27"/>
    </row>
    <row r="16" spans="1:10" ht="12.75">
      <c r="A16" s="128" t="s">
        <v>366</v>
      </c>
      <c r="B16" s="129"/>
      <c r="C16" s="129"/>
      <c r="D16" s="129"/>
      <c r="E16" s="130"/>
      <c r="F16" s="60">
        <v>0</v>
      </c>
      <c r="G16" s="63"/>
      <c r="H16" s="63"/>
      <c r="I16" s="60">
        <f>F16</f>
        <v>0</v>
      </c>
      <c r="J16" s="27"/>
    </row>
    <row r="17" spans="1:10" ht="12.75">
      <c r="A17" s="111" t="s">
        <v>367</v>
      </c>
      <c r="B17" s="112"/>
      <c r="C17" s="112"/>
      <c r="D17" s="112"/>
      <c r="E17" s="113"/>
      <c r="F17" s="61">
        <v>0</v>
      </c>
      <c r="G17" s="64"/>
      <c r="H17" s="64"/>
      <c r="I17" s="61">
        <f>F17</f>
        <v>0</v>
      </c>
      <c r="J17" s="27"/>
    </row>
    <row r="18" spans="1:10" ht="12.75">
      <c r="A18" s="114" t="s">
        <v>394</v>
      </c>
      <c r="B18" s="115"/>
      <c r="C18" s="115"/>
      <c r="D18" s="115"/>
      <c r="E18" s="116"/>
      <c r="F18" s="62"/>
      <c r="G18" s="65"/>
      <c r="H18" s="65"/>
      <c r="I18" s="66">
        <f>SUM(I15:I17)</f>
        <v>0</v>
      </c>
      <c r="J18" s="28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10" ht="12.75">
      <c r="A20" s="125" t="s">
        <v>391</v>
      </c>
      <c r="B20" s="126"/>
      <c r="C20" s="126"/>
      <c r="D20" s="126"/>
      <c r="E20" s="127"/>
      <c r="F20" s="59" t="s">
        <v>401</v>
      </c>
      <c r="G20" s="59" t="s">
        <v>402</v>
      </c>
      <c r="H20" s="59" t="s">
        <v>403</v>
      </c>
      <c r="I20" s="59" t="s">
        <v>401</v>
      </c>
      <c r="J20" s="28"/>
    </row>
    <row r="21" spans="1:10" ht="12.75">
      <c r="A21" s="128" t="s">
        <v>375</v>
      </c>
      <c r="B21" s="129"/>
      <c r="C21" s="129"/>
      <c r="D21" s="129"/>
      <c r="E21" s="130"/>
      <c r="F21" s="60">
        <v>0</v>
      </c>
      <c r="G21" s="63"/>
      <c r="H21" s="63"/>
      <c r="I21" s="60">
        <f aca="true" t="shared" si="0" ref="I21:I26">F21</f>
        <v>0</v>
      </c>
      <c r="J21" s="27"/>
    </row>
    <row r="22" spans="1:10" ht="12.75">
      <c r="A22" s="128" t="s">
        <v>376</v>
      </c>
      <c r="B22" s="129"/>
      <c r="C22" s="129"/>
      <c r="D22" s="129"/>
      <c r="E22" s="130"/>
      <c r="F22" s="60">
        <v>0</v>
      </c>
      <c r="G22" s="63"/>
      <c r="H22" s="63"/>
      <c r="I22" s="60">
        <f t="shared" si="0"/>
        <v>0</v>
      </c>
      <c r="J22" s="27"/>
    </row>
    <row r="23" spans="1:10" ht="12.75">
      <c r="A23" s="128" t="s">
        <v>377</v>
      </c>
      <c r="B23" s="129"/>
      <c r="C23" s="129"/>
      <c r="D23" s="129"/>
      <c r="E23" s="130"/>
      <c r="F23" s="60">
        <v>0</v>
      </c>
      <c r="G23" s="63"/>
      <c r="H23" s="63"/>
      <c r="I23" s="60">
        <f t="shared" si="0"/>
        <v>0</v>
      </c>
      <c r="J23" s="27"/>
    </row>
    <row r="24" spans="1:10" ht="12.75">
      <c r="A24" s="128" t="s">
        <v>378</v>
      </c>
      <c r="B24" s="129"/>
      <c r="C24" s="129"/>
      <c r="D24" s="129"/>
      <c r="E24" s="130"/>
      <c r="F24" s="60">
        <v>0</v>
      </c>
      <c r="G24" s="63"/>
      <c r="H24" s="63"/>
      <c r="I24" s="60">
        <f t="shared" si="0"/>
        <v>0</v>
      </c>
      <c r="J24" s="27"/>
    </row>
    <row r="25" spans="1:10" ht="12.75">
      <c r="A25" s="128" t="s">
        <v>379</v>
      </c>
      <c r="B25" s="129"/>
      <c r="C25" s="129"/>
      <c r="D25" s="129"/>
      <c r="E25" s="130"/>
      <c r="F25" s="60">
        <v>0</v>
      </c>
      <c r="G25" s="63"/>
      <c r="H25" s="63"/>
      <c r="I25" s="60">
        <f t="shared" si="0"/>
        <v>0</v>
      </c>
      <c r="J25" s="27"/>
    </row>
    <row r="26" spans="1:10" ht="12.75">
      <c r="A26" s="111" t="s">
        <v>380</v>
      </c>
      <c r="B26" s="112"/>
      <c r="C26" s="112"/>
      <c r="D26" s="112"/>
      <c r="E26" s="113"/>
      <c r="F26" s="61">
        <v>0</v>
      </c>
      <c r="G26" s="64"/>
      <c r="H26" s="64"/>
      <c r="I26" s="61">
        <f t="shared" si="0"/>
        <v>0</v>
      </c>
      <c r="J26" s="27"/>
    </row>
    <row r="27" spans="1:10" ht="12.75">
      <c r="A27" s="114" t="s">
        <v>395</v>
      </c>
      <c r="B27" s="115"/>
      <c r="C27" s="115"/>
      <c r="D27" s="115"/>
      <c r="E27" s="116"/>
      <c r="F27" s="62"/>
      <c r="G27" s="65"/>
      <c r="H27" s="65"/>
      <c r="I27" s="66">
        <f>SUM(I21:I26)</f>
        <v>0</v>
      </c>
      <c r="J27" s="28"/>
    </row>
    <row r="28" spans="1:9" ht="12.75">
      <c r="A28" s="57"/>
      <c r="B28" s="57"/>
      <c r="C28" s="57"/>
      <c r="D28" s="57"/>
      <c r="E28" s="57"/>
      <c r="F28" s="57"/>
      <c r="G28" s="57"/>
      <c r="H28" s="57"/>
      <c r="I28" s="57"/>
    </row>
    <row r="29" spans="1:10" ht="15.15" customHeight="1">
      <c r="A29" s="117" t="s">
        <v>396</v>
      </c>
      <c r="B29" s="118"/>
      <c r="C29" s="118"/>
      <c r="D29" s="118"/>
      <c r="E29" s="119"/>
      <c r="F29" s="120">
        <f>I18+I27</f>
        <v>0</v>
      </c>
      <c r="G29" s="121"/>
      <c r="H29" s="121"/>
      <c r="I29" s="122"/>
      <c r="J29" s="28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3" spans="1:9" ht="15.15" customHeight="1">
      <c r="A33" s="123" t="s">
        <v>397</v>
      </c>
      <c r="B33" s="124"/>
      <c r="C33" s="124"/>
      <c r="D33" s="124"/>
      <c r="E33" s="124"/>
      <c r="F33" s="58"/>
      <c r="G33" s="58"/>
      <c r="H33" s="58"/>
      <c r="I33" s="58"/>
    </row>
    <row r="34" spans="1:10" ht="12.75">
      <c r="A34" s="125" t="s">
        <v>398</v>
      </c>
      <c r="B34" s="126"/>
      <c r="C34" s="126"/>
      <c r="D34" s="126"/>
      <c r="E34" s="127"/>
      <c r="F34" s="59" t="s">
        <v>401</v>
      </c>
      <c r="G34" s="59" t="s">
        <v>402</v>
      </c>
      <c r="H34" s="59" t="s">
        <v>403</v>
      </c>
      <c r="I34" s="59" t="s">
        <v>401</v>
      </c>
      <c r="J34" s="28"/>
    </row>
    <row r="35" spans="1:10" ht="12.75">
      <c r="A35" s="111"/>
      <c r="B35" s="112"/>
      <c r="C35" s="112"/>
      <c r="D35" s="112"/>
      <c r="E35" s="113"/>
      <c r="F35" s="61">
        <v>0</v>
      </c>
      <c r="G35" s="64"/>
      <c r="H35" s="64"/>
      <c r="I35" s="61">
        <f>F35</f>
        <v>0</v>
      </c>
      <c r="J35" s="27"/>
    </row>
    <row r="36" spans="1:10" ht="12.75">
      <c r="A36" s="114" t="s">
        <v>399</v>
      </c>
      <c r="B36" s="115"/>
      <c r="C36" s="115"/>
      <c r="D36" s="115"/>
      <c r="E36" s="116"/>
      <c r="F36" s="62"/>
      <c r="G36" s="65"/>
      <c r="H36" s="65"/>
      <c r="I36" s="66">
        <f>SUM(I35:I35)</f>
        <v>0</v>
      </c>
      <c r="J36" s="28"/>
    </row>
    <row r="37" spans="1:9" ht="12.75">
      <c r="A37" s="48"/>
      <c r="B37" s="48"/>
      <c r="C37" s="48"/>
      <c r="D37" s="48"/>
      <c r="E37" s="48"/>
      <c r="F37" s="48"/>
      <c r="G37" s="48"/>
      <c r="H37" s="48"/>
      <c r="I37" s="48"/>
    </row>
  </sheetData>
  <mergeCells count="51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H10:H11"/>
    <mergeCell ref="I10:I11"/>
    <mergeCell ref="A8:B9"/>
    <mergeCell ref="C8:D9"/>
    <mergeCell ref="E8:E9"/>
    <mergeCell ref="F8:G9"/>
    <mergeCell ref="H8:H9"/>
    <mergeCell ref="I8:I9"/>
    <mergeCell ref="A18:E18"/>
    <mergeCell ref="A10:B11"/>
    <mergeCell ref="C10:D11"/>
    <mergeCell ref="E10:E11"/>
    <mergeCell ref="F10:G11"/>
    <mergeCell ref="A13:E13"/>
    <mergeCell ref="A14:E14"/>
    <mergeCell ref="A15:E15"/>
    <mergeCell ref="A16:E16"/>
    <mergeCell ref="A17:E17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11.57421875" style="0" hidden="1" customWidth="1"/>
  </cols>
  <sheetData>
    <row r="1" spans="1:7" ht="72.9" customHeight="1">
      <c r="A1" s="138" t="s">
        <v>341</v>
      </c>
      <c r="B1" s="103"/>
      <c r="C1" s="103"/>
      <c r="D1" s="103"/>
      <c r="E1" s="103"/>
      <c r="F1" s="103"/>
      <c r="G1" s="103"/>
    </row>
    <row r="2" spans="1:8" ht="12.75">
      <c r="A2" s="104" t="s">
        <v>1</v>
      </c>
      <c r="B2" s="106" t="str">
        <f>'Stavební rozpočet'!C2</f>
        <v>Oprava rozvodů vody - zámek Vyškov</v>
      </c>
      <c r="C2" s="107"/>
      <c r="D2" s="109" t="s">
        <v>310</v>
      </c>
      <c r="E2" s="109" t="str">
        <f>'Stavební rozpočet'!I2</f>
        <v> </v>
      </c>
      <c r="F2" s="105"/>
      <c r="G2" s="139"/>
      <c r="H2" s="27"/>
    </row>
    <row r="3" spans="1:8" ht="12.75">
      <c r="A3" s="96"/>
      <c r="B3" s="108"/>
      <c r="C3" s="108"/>
      <c r="D3" s="73"/>
      <c r="E3" s="73"/>
      <c r="F3" s="73"/>
      <c r="G3" s="99"/>
      <c r="H3" s="27"/>
    </row>
    <row r="4" spans="1:8" ht="12.75">
      <c r="A4" s="95" t="s">
        <v>2</v>
      </c>
      <c r="B4" s="72" t="str">
        <f>'Stavební rozpočet'!C4</f>
        <v>b.Hygienické zařízení - ZTI</v>
      </c>
      <c r="C4" s="73"/>
      <c r="D4" s="72" t="s">
        <v>311</v>
      </c>
      <c r="E4" s="72" t="str">
        <f>'Stavební rozpočet'!I4</f>
        <v> </v>
      </c>
      <c r="F4" s="73"/>
      <c r="G4" s="99"/>
      <c r="H4" s="27"/>
    </row>
    <row r="5" spans="1:8" ht="12.75">
      <c r="A5" s="96"/>
      <c r="B5" s="73"/>
      <c r="C5" s="73"/>
      <c r="D5" s="73"/>
      <c r="E5" s="73"/>
      <c r="F5" s="73"/>
      <c r="G5" s="99"/>
      <c r="H5" s="27"/>
    </row>
    <row r="6" spans="1:8" ht="12.75">
      <c r="A6" s="95" t="s">
        <v>3</v>
      </c>
      <c r="B6" s="72" t="str">
        <f>'Stavební rozpočet'!C6</f>
        <v>náměstí Čsl.armády 475/2, Vyškov - Město, 682 01</v>
      </c>
      <c r="C6" s="73"/>
      <c r="D6" s="72" t="s">
        <v>312</v>
      </c>
      <c r="E6" s="72" t="str">
        <f>'Stavební rozpočet'!I6</f>
        <v> </v>
      </c>
      <c r="F6" s="73"/>
      <c r="G6" s="99"/>
      <c r="H6" s="27"/>
    </row>
    <row r="7" spans="1:8" ht="12.75">
      <c r="A7" s="96"/>
      <c r="B7" s="73"/>
      <c r="C7" s="73"/>
      <c r="D7" s="73"/>
      <c r="E7" s="73"/>
      <c r="F7" s="73"/>
      <c r="G7" s="99"/>
      <c r="H7" s="27"/>
    </row>
    <row r="8" spans="1:8" ht="12.75">
      <c r="A8" s="95" t="s">
        <v>313</v>
      </c>
      <c r="B8" s="72" t="str">
        <f>'Stavební rozpočet'!I8</f>
        <v> </v>
      </c>
      <c r="C8" s="73"/>
      <c r="D8" s="97" t="s">
        <v>302</v>
      </c>
      <c r="E8" s="72" t="str">
        <f>'Stavební rozpočet'!F8</f>
        <v>10.05.2019</v>
      </c>
      <c r="F8" s="73"/>
      <c r="G8" s="99"/>
      <c r="H8" s="27"/>
    </row>
    <row r="9" spans="1:8" ht="12.75">
      <c r="A9" s="135"/>
      <c r="B9" s="136"/>
      <c r="C9" s="136"/>
      <c r="D9" s="136"/>
      <c r="E9" s="136"/>
      <c r="F9" s="136"/>
      <c r="G9" s="137"/>
      <c r="H9" s="27"/>
    </row>
    <row r="10" spans="1:8" ht="12.75">
      <c r="A10" s="34" t="s">
        <v>342</v>
      </c>
      <c r="B10" s="36" t="s">
        <v>88</v>
      </c>
      <c r="C10" s="131" t="s">
        <v>343</v>
      </c>
      <c r="D10" s="132"/>
      <c r="E10" s="37" t="s">
        <v>344</v>
      </c>
      <c r="F10" s="37" t="s">
        <v>345</v>
      </c>
      <c r="G10" s="37" t="s">
        <v>346</v>
      </c>
      <c r="H10" s="27"/>
    </row>
    <row r="11" spans="1:9" ht="12.75">
      <c r="A11" s="35"/>
      <c r="B11" s="35" t="s">
        <v>89</v>
      </c>
      <c r="C11" s="133" t="s">
        <v>177</v>
      </c>
      <c r="D11" s="134"/>
      <c r="E11" s="39">
        <f>'Stavební rozpočet'!I12</f>
        <v>0</v>
      </c>
      <c r="F11" s="39">
        <f>'Stavební rozpočet'!J12</f>
        <v>0</v>
      </c>
      <c r="G11" s="39">
        <f>'Stavební rozpočet'!K12</f>
        <v>0</v>
      </c>
      <c r="H11" s="29" t="s">
        <v>347</v>
      </c>
      <c r="I11" s="29">
        <f>IF(H11="F",0,G11)</f>
        <v>0</v>
      </c>
    </row>
    <row r="12" spans="1:9" ht="12.75">
      <c r="A12" s="14"/>
      <c r="B12" s="14" t="s">
        <v>108</v>
      </c>
      <c r="C12" s="97" t="s">
        <v>209</v>
      </c>
      <c r="D12" s="73"/>
      <c r="E12" s="29">
        <f>'Stavební rozpočet'!I59</f>
        <v>0</v>
      </c>
      <c r="F12" s="29">
        <f>'Stavební rozpočet'!J59</f>
        <v>0</v>
      </c>
      <c r="G12" s="29">
        <f>'Stavební rozpočet'!K59</f>
        <v>0</v>
      </c>
      <c r="H12" s="29" t="s">
        <v>347</v>
      </c>
      <c r="I12" s="29">
        <f>IF(H12="F",0,G12)</f>
        <v>0</v>
      </c>
    </row>
    <row r="13" spans="1:9" ht="12.75">
      <c r="A13" s="14"/>
      <c r="B13" s="14" t="s">
        <v>131</v>
      </c>
      <c r="C13" s="97" t="s">
        <v>251</v>
      </c>
      <c r="D13" s="73"/>
      <c r="E13" s="29">
        <f>'Stavební rozpočet'!I127</f>
        <v>0</v>
      </c>
      <c r="F13" s="29">
        <f>'Stavební rozpočet'!J127</f>
        <v>0</v>
      </c>
      <c r="G13" s="29">
        <f>'Stavební rozpočet'!K127</f>
        <v>0</v>
      </c>
      <c r="H13" s="29" t="s">
        <v>347</v>
      </c>
      <c r="I13" s="29">
        <f>IF(H13="F",0,G13)</f>
        <v>0</v>
      </c>
    </row>
    <row r="14" spans="1:9" ht="12.75">
      <c r="A14" s="14"/>
      <c r="B14" s="14" t="s">
        <v>163</v>
      </c>
      <c r="C14" s="97" t="s">
        <v>288</v>
      </c>
      <c r="D14" s="73"/>
      <c r="E14" s="29">
        <f>'Stavební rozpočet'!I213</f>
        <v>0</v>
      </c>
      <c r="F14" s="29">
        <f>'Stavební rozpočet'!J213</f>
        <v>0</v>
      </c>
      <c r="G14" s="29">
        <f>'Stavební rozpočet'!K213</f>
        <v>0</v>
      </c>
      <c r="H14" s="29" t="s">
        <v>347</v>
      </c>
      <c r="I14" s="29">
        <f>IF(H14="F",0,G14)</f>
        <v>0</v>
      </c>
    </row>
    <row r="16" spans="6:7" ht="12.75">
      <c r="F16" s="38" t="s">
        <v>319</v>
      </c>
      <c r="G16" s="40">
        <f>ROUND(SUM(I11:I14),0)</f>
        <v>0</v>
      </c>
    </row>
  </sheetData>
  <mergeCells count="22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</mergeCells>
  <printOptions/>
  <pageMargins left="0.394" right="0.394" top="0.591" bottom="0.591" header="0.5" footer="0.5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6"/>
  <sheetViews>
    <sheetView tabSelected="1" workbookViewId="0" topLeftCell="A1">
      <pane ySplit="11" topLeftCell="A169" activePane="bottomLeft" state="frozen"/>
      <selection pane="bottomLeft" activeCell="B198" sqref="B198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7.281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24" max="61" width="12.140625" style="0" hidden="1" customWidth="1"/>
  </cols>
  <sheetData>
    <row r="1" spans="1:11" ht="72.9" customHeight="1">
      <c r="A1" s="138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12.75">
      <c r="A2" s="104" t="s">
        <v>1</v>
      </c>
      <c r="B2" s="105"/>
      <c r="C2" s="106" t="s">
        <v>172</v>
      </c>
      <c r="D2" s="164" t="s">
        <v>299</v>
      </c>
      <c r="E2" s="105"/>
      <c r="F2" s="164" t="s">
        <v>6</v>
      </c>
      <c r="G2" s="105"/>
      <c r="H2" s="109" t="s">
        <v>310</v>
      </c>
      <c r="I2" s="164" t="s">
        <v>316</v>
      </c>
      <c r="J2" s="105"/>
      <c r="K2" s="105"/>
      <c r="L2" s="27"/>
    </row>
    <row r="3" spans="1:12" ht="12.75">
      <c r="A3" s="96"/>
      <c r="B3" s="73"/>
      <c r="C3" s="108"/>
      <c r="D3" s="73"/>
      <c r="E3" s="73"/>
      <c r="F3" s="73"/>
      <c r="G3" s="73"/>
      <c r="H3" s="73"/>
      <c r="I3" s="73"/>
      <c r="J3" s="73"/>
      <c r="K3" s="73"/>
      <c r="L3" s="27"/>
    </row>
    <row r="4" spans="1:12" ht="12.75">
      <c r="A4" s="95" t="s">
        <v>2</v>
      </c>
      <c r="B4" s="73"/>
      <c r="C4" s="72" t="s">
        <v>173</v>
      </c>
      <c r="D4" s="97" t="s">
        <v>300</v>
      </c>
      <c r="E4" s="73"/>
      <c r="F4" s="97" t="s">
        <v>6</v>
      </c>
      <c r="G4" s="73"/>
      <c r="H4" s="72" t="s">
        <v>311</v>
      </c>
      <c r="I4" s="97" t="s">
        <v>316</v>
      </c>
      <c r="J4" s="73"/>
      <c r="K4" s="73"/>
      <c r="L4" s="27"/>
    </row>
    <row r="5" spans="1:12" ht="12.75">
      <c r="A5" s="96"/>
      <c r="B5" s="73"/>
      <c r="C5" s="73"/>
      <c r="D5" s="73"/>
      <c r="E5" s="73"/>
      <c r="F5" s="73"/>
      <c r="G5" s="73"/>
      <c r="H5" s="73"/>
      <c r="I5" s="73"/>
      <c r="J5" s="73"/>
      <c r="K5" s="73"/>
      <c r="L5" s="27"/>
    </row>
    <row r="6" spans="1:12" ht="12.75">
      <c r="A6" s="95" t="s">
        <v>3</v>
      </c>
      <c r="B6" s="73"/>
      <c r="C6" s="72" t="s">
        <v>174</v>
      </c>
      <c r="D6" s="97" t="s">
        <v>301</v>
      </c>
      <c r="E6" s="73"/>
      <c r="F6" s="97" t="s">
        <v>6</v>
      </c>
      <c r="G6" s="73"/>
      <c r="H6" s="72" t="s">
        <v>312</v>
      </c>
      <c r="I6" s="97" t="s">
        <v>316</v>
      </c>
      <c r="J6" s="73"/>
      <c r="K6" s="73"/>
      <c r="L6" s="27"/>
    </row>
    <row r="7" spans="1:12" ht="12.75">
      <c r="A7" s="96"/>
      <c r="B7" s="73"/>
      <c r="C7" s="73"/>
      <c r="D7" s="73"/>
      <c r="E7" s="73"/>
      <c r="F7" s="73"/>
      <c r="G7" s="73"/>
      <c r="H7" s="73"/>
      <c r="I7" s="73"/>
      <c r="J7" s="73"/>
      <c r="K7" s="73"/>
      <c r="L7" s="27"/>
    </row>
    <row r="8" spans="1:12" ht="12.75">
      <c r="A8" s="95" t="s">
        <v>4</v>
      </c>
      <c r="B8" s="73"/>
      <c r="C8" s="72" t="s">
        <v>6</v>
      </c>
      <c r="D8" s="97" t="s">
        <v>302</v>
      </c>
      <c r="E8" s="73"/>
      <c r="F8" s="97" t="s">
        <v>303</v>
      </c>
      <c r="G8" s="73"/>
      <c r="H8" s="72" t="s">
        <v>313</v>
      </c>
      <c r="I8" s="97" t="s">
        <v>316</v>
      </c>
      <c r="J8" s="73"/>
      <c r="K8" s="73"/>
      <c r="L8" s="27"/>
    </row>
    <row r="9" spans="1:12" ht="12.7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27"/>
    </row>
    <row r="10" spans="1:12" ht="12.75">
      <c r="A10" s="1" t="s">
        <v>5</v>
      </c>
      <c r="B10" s="10" t="s">
        <v>88</v>
      </c>
      <c r="C10" s="153" t="s">
        <v>175</v>
      </c>
      <c r="D10" s="154"/>
      <c r="E10" s="155"/>
      <c r="F10" s="10" t="s">
        <v>304</v>
      </c>
      <c r="G10" s="15" t="s">
        <v>309</v>
      </c>
      <c r="H10" s="19" t="s">
        <v>314</v>
      </c>
      <c r="I10" s="156" t="s">
        <v>317</v>
      </c>
      <c r="J10" s="157"/>
      <c r="K10" s="158"/>
      <c r="L10" s="28"/>
    </row>
    <row r="11" spans="1:61" ht="12.75">
      <c r="A11" s="2" t="s">
        <v>6</v>
      </c>
      <c r="B11" s="11" t="s">
        <v>6</v>
      </c>
      <c r="C11" s="159" t="s">
        <v>176</v>
      </c>
      <c r="D11" s="160"/>
      <c r="E11" s="161"/>
      <c r="F11" s="11" t="s">
        <v>6</v>
      </c>
      <c r="G11" s="11" t="s">
        <v>6</v>
      </c>
      <c r="H11" s="20" t="s">
        <v>315</v>
      </c>
      <c r="I11" s="21" t="s">
        <v>318</v>
      </c>
      <c r="J11" s="22" t="s">
        <v>320</v>
      </c>
      <c r="K11" s="23" t="s">
        <v>321</v>
      </c>
      <c r="L11" s="28"/>
      <c r="Y11" s="25" t="s">
        <v>322</v>
      </c>
      <c r="Z11" s="25" t="s">
        <v>323</v>
      </c>
      <c r="AA11" s="25" t="s">
        <v>324</v>
      </c>
      <c r="AB11" s="25" t="s">
        <v>325</v>
      </c>
      <c r="AC11" s="25" t="s">
        <v>326</v>
      </c>
      <c r="AD11" s="25" t="s">
        <v>327</v>
      </c>
      <c r="AE11" s="25" t="s">
        <v>328</v>
      </c>
      <c r="AF11" s="25" t="s">
        <v>329</v>
      </c>
      <c r="AG11" s="25" t="s">
        <v>330</v>
      </c>
      <c r="BG11" s="25" t="s">
        <v>338</v>
      </c>
      <c r="BH11" s="25" t="s">
        <v>339</v>
      </c>
      <c r="BI11" s="25" t="s">
        <v>340</v>
      </c>
    </row>
    <row r="12" spans="1:46" ht="12.75">
      <c r="A12" s="3"/>
      <c r="B12" s="12" t="s">
        <v>89</v>
      </c>
      <c r="C12" s="162" t="s">
        <v>177</v>
      </c>
      <c r="D12" s="163"/>
      <c r="E12" s="163"/>
      <c r="F12" s="3" t="s">
        <v>6</v>
      </c>
      <c r="G12" s="3" t="s">
        <v>6</v>
      </c>
      <c r="H12" s="3" t="s">
        <v>6</v>
      </c>
      <c r="I12" s="31">
        <f>SUM(I13:I58)</f>
        <v>0</v>
      </c>
      <c r="J12" s="31">
        <f>SUM(J13:J58)</f>
        <v>0</v>
      </c>
      <c r="K12" s="31">
        <f>SUM(K13:K58)</f>
        <v>0</v>
      </c>
      <c r="AH12" s="25"/>
      <c r="AR12" s="32">
        <f>SUM(AI13:AI58)</f>
        <v>0</v>
      </c>
      <c r="AS12" s="32">
        <f>SUM(AJ13:AJ58)</f>
        <v>0</v>
      </c>
      <c r="AT12" s="32">
        <f>SUM(AK13:AK58)</f>
        <v>0</v>
      </c>
    </row>
    <row r="13" spans="1:61" ht="12.75">
      <c r="A13" s="4" t="s">
        <v>7</v>
      </c>
      <c r="B13" s="4" t="s">
        <v>90</v>
      </c>
      <c r="C13" s="140" t="s">
        <v>178</v>
      </c>
      <c r="D13" s="141"/>
      <c r="E13" s="141"/>
      <c r="F13" s="4" t="s">
        <v>305</v>
      </c>
      <c r="G13" s="68">
        <v>3</v>
      </c>
      <c r="H13" s="16">
        <v>0</v>
      </c>
      <c r="I13" s="16">
        <f>G13*AN13</f>
        <v>0</v>
      </c>
      <c r="J13" s="16">
        <f>G13*AO13</f>
        <v>0</v>
      </c>
      <c r="K13" s="16">
        <f>G13*H13</f>
        <v>0</v>
      </c>
      <c r="Y13" s="29">
        <f>IF(AP13="5",BI13,0)</f>
        <v>0</v>
      </c>
      <c r="AA13" s="29">
        <f>IF(AP13="1",BG13,0)</f>
        <v>0</v>
      </c>
      <c r="AB13" s="29">
        <f>IF(AP13="1",BH13,0)</f>
        <v>0</v>
      </c>
      <c r="AC13" s="29">
        <f>IF(AP13="7",BG13,0)</f>
        <v>0</v>
      </c>
      <c r="AD13" s="29">
        <f>IF(AP13="7",BH13,0)</f>
        <v>0</v>
      </c>
      <c r="AE13" s="29">
        <f>IF(AP13="2",BG13,0)</f>
        <v>0</v>
      </c>
      <c r="AF13" s="29">
        <f>IF(AP13="2",BH13,0)</f>
        <v>0</v>
      </c>
      <c r="AG13" s="29">
        <f>IF(AP13="0",BI13,0)</f>
        <v>0</v>
      </c>
      <c r="AH13" s="25"/>
      <c r="AI13" s="16">
        <f>IF(AM13=0,K13,0)</f>
        <v>0</v>
      </c>
      <c r="AJ13" s="16">
        <f>IF(AM13=15,K13,0)</f>
        <v>0</v>
      </c>
      <c r="AK13" s="16">
        <f>IF(AM13=21,K13,0)</f>
        <v>0</v>
      </c>
      <c r="AM13" s="29">
        <v>21</v>
      </c>
      <c r="AN13" s="29">
        <f>H13*0</f>
        <v>0</v>
      </c>
      <c r="AO13" s="29">
        <f>H13*(1-0)</f>
        <v>0</v>
      </c>
      <c r="AP13" s="24" t="s">
        <v>13</v>
      </c>
      <c r="AU13" s="29">
        <f>AV13+AW13</f>
        <v>0</v>
      </c>
      <c r="AV13" s="29">
        <f>G13*AN13</f>
        <v>0</v>
      </c>
      <c r="AW13" s="29">
        <f>G13*AO13</f>
        <v>0</v>
      </c>
      <c r="AX13" s="30" t="s">
        <v>331</v>
      </c>
      <c r="AY13" s="30" t="s">
        <v>335</v>
      </c>
      <c r="AZ13" s="25" t="s">
        <v>337</v>
      </c>
      <c r="BB13" s="29">
        <f>AV13+AW13</f>
        <v>0</v>
      </c>
      <c r="BC13" s="29">
        <f>H13/(100-BD13)*100</f>
        <v>0</v>
      </c>
      <c r="BD13" s="29">
        <v>0</v>
      </c>
      <c r="BE13" s="29">
        <f>13</f>
        <v>13</v>
      </c>
      <c r="BG13" s="16">
        <f>G13*AN13</f>
        <v>0</v>
      </c>
      <c r="BH13" s="16">
        <f>G13*AO13</f>
        <v>0</v>
      </c>
      <c r="BI13" s="16">
        <f>G13*H13</f>
        <v>0</v>
      </c>
    </row>
    <row r="14" spans="3:7" ht="12.75">
      <c r="C14" s="142" t="s">
        <v>179</v>
      </c>
      <c r="D14" s="143"/>
      <c r="E14" s="143"/>
      <c r="G14" s="69">
        <v>1</v>
      </c>
    </row>
    <row r="15" spans="3:7" ht="12.75">
      <c r="C15" s="142" t="s">
        <v>180</v>
      </c>
      <c r="D15" s="143"/>
      <c r="E15" s="143"/>
      <c r="G15" s="69">
        <v>1</v>
      </c>
    </row>
    <row r="16" spans="3:7" ht="12.75">
      <c r="C16" s="142" t="s">
        <v>181</v>
      </c>
      <c r="D16" s="143"/>
      <c r="E16" s="143"/>
      <c r="G16" s="69">
        <v>1</v>
      </c>
    </row>
    <row r="17" spans="1:61" ht="12.75">
      <c r="A17" s="4" t="s">
        <v>8</v>
      </c>
      <c r="B17" s="4" t="s">
        <v>91</v>
      </c>
      <c r="C17" s="140" t="s">
        <v>182</v>
      </c>
      <c r="D17" s="141"/>
      <c r="E17" s="141"/>
      <c r="F17" s="4" t="s">
        <v>305</v>
      </c>
      <c r="G17" s="68">
        <v>1</v>
      </c>
      <c r="H17" s="16">
        <v>0</v>
      </c>
      <c r="I17" s="16">
        <f>G17*AN17</f>
        <v>0</v>
      </c>
      <c r="J17" s="16">
        <f>G17*AO17</f>
        <v>0</v>
      </c>
      <c r="K17" s="16">
        <f>G17*H17</f>
        <v>0</v>
      </c>
      <c r="Y17" s="29">
        <f>IF(AP17="5",BI17,0)</f>
        <v>0</v>
      </c>
      <c r="AA17" s="29">
        <f>IF(AP17="1",BG17,0)</f>
        <v>0</v>
      </c>
      <c r="AB17" s="29">
        <f>IF(AP17="1",BH17,0)</f>
        <v>0</v>
      </c>
      <c r="AC17" s="29">
        <f>IF(AP17="7",BG17,0)</f>
        <v>0</v>
      </c>
      <c r="AD17" s="29">
        <f>IF(AP17="7",BH17,0)</f>
        <v>0</v>
      </c>
      <c r="AE17" s="29">
        <f>IF(AP17="2",BG17,0)</f>
        <v>0</v>
      </c>
      <c r="AF17" s="29">
        <f>IF(AP17="2",BH17,0)</f>
        <v>0</v>
      </c>
      <c r="AG17" s="29">
        <f>IF(AP17="0",BI17,0)</f>
        <v>0</v>
      </c>
      <c r="AH17" s="25"/>
      <c r="AI17" s="16">
        <f>IF(AM17=0,K17,0)</f>
        <v>0</v>
      </c>
      <c r="AJ17" s="16">
        <f>IF(AM17=15,K17,0)</f>
        <v>0</v>
      </c>
      <c r="AK17" s="16">
        <f>IF(AM17=21,K17,0)</f>
        <v>0</v>
      </c>
      <c r="AM17" s="29">
        <v>21</v>
      </c>
      <c r="AN17" s="29">
        <f>H17*0.274966030015725</f>
        <v>0</v>
      </c>
      <c r="AO17" s="29">
        <f>H17*(1-0.274966030015725)</f>
        <v>0</v>
      </c>
      <c r="AP17" s="24" t="s">
        <v>13</v>
      </c>
      <c r="AU17" s="29">
        <f>AV17+AW17</f>
        <v>0</v>
      </c>
      <c r="AV17" s="29">
        <f>G17*AN17</f>
        <v>0</v>
      </c>
      <c r="AW17" s="29">
        <f>G17*AO17</f>
        <v>0</v>
      </c>
      <c r="AX17" s="30" t="s">
        <v>331</v>
      </c>
      <c r="AY17" s="30" t="s">
        <v>335</v>
      </c>
      <c r="AZ17" s="25" t="s">
        <v>337</v>
      </c>
      <c r="BB17" s="29">
        <f>AV17+AW17</f>
        <v>0</v>
      </c>
      <c r="BC17" s="29">
        <f>H17/(100-BD17)*100</f>
        <v>0</v>
      </c>
      <c r="BD17" s="29">
        <v>0</v>
      </c>
      <c r="BE17" s="29">
        <f>17</f>
        <v>17</v>
      </c>
      <c r="BG17" s="16">
        <f>G17*AN17</f>
        <v>0</v>
      </c>
      <c r="BH17" s="16">
        <f>G17*AO17</f>
        <v>0</v>
      </c>
      <c r="BI17" s="16">
        <f>G17*H17</f>
        <v>0</v>
      </c>
    </row>
    <row r="18" spans="3:7" ht="12.75">
      <c r="C18" s="142" t="s">
        <v>179</v>
      </c>
      <c r="D18" s="143"/>
      <c r="E18" s="143"/>
      <c r="G18" s="69">
        <v>1</v>
      </c>
    </row>
    <row r="19" spans="1:61" ht="12.75">
      <c r="A19" s="4" t="s">
        <v>9</v>
      </c>
      <c r="B19" s="4" t="s">
        <v>92</v>
      </c>
      <c r="C19" s="140" t="s">
        <v>183</v>
      </c>
      <c r="D19" s="141"/>
      <c r="E19" s="141"/>
      <c r="F19" s="4" t="s">
        <v>305</v>
      </c>
      <c r="G19" s="68">
        <v>3</v>
      </c>
      <c r="H19" s="16">
        <v>0</v>
      </c>
      <c r="I19" s="16">
        <f>G19*AN19</f>
        <v>0</v>
      </c>
      <c r="J19" s="16">
        <f>G19*AO19</f>
        <v>0</v>
      </c>
      <c r="K19" s="16">
        <f>G19*H19</f>
        <v>0</v>
      </c>
      <c r="Y19" s="29">
        <f>IF(AP19="5",BI19,0)</f>
        <v>0</v>
      </c>
      <c r="AA19" s="29">
        <f>IF(AP19="1",BG19,0)</f>
        <v>0</v>
      </c>
      <c r="AB19" s="29">
        <f>IF(AP19="1",BH19,0)</f>
        <v>0</v>
      </c>
      <c r="AC19" s="29">
        <f>IF(AP19="7",BG19,0)</f>
        <v>0</v>
      </c>
      <c r="AD19" s="29">
        <f>IF(AP19="7",BH19,0)</f>
        <v>0</v>
      </c>
      <c r="AE19" s="29">
        <f>IF(AP19="2",BG19,0)</f>
        <v>0</v>
      </c>
      <c r="AF19" s="29">
        <f>IF(AP19="2",BH19,0)</f>
        <v>0</v>
      </c>
      <c r="AG19" s="29">
        <f>IF(AP19="0",BI19,0)</f>
        <v>0</v>
      </c>
      <c r="AH19" s="25"/>
      <c r="AI19" s="16">
        <f>IF(AM19=0,K19,0)</f>
        <v>0</v>
      </c>
      <c r="AJ19" s="16">
        <f>IF(AM19=15,K19,0)</f>
        <v>0</v>
      </c>
      <c r="AK19" s="16">
        <f>IF(AM19=21,K19,0)</f>
        <v>0</v>
      </c>
      <c r="AM19" s="29">
        <v>21</v>
      </c>
      <c r="AN19" s="29">
        <f>H19*0.220139616055846</f>
        <v>0</v>
      </c>
      <c r="AO19" s="29">
        <f>H19*(1-0.220139616055846)</f>
        <v>0</v>
      </c>
      <c r="AP19" s="24" t="s">
        <v>13</v>
      </c>
      <c r="AU19" s="29">
        <f>AV19+AW19</f>
        <v>0</v>
      </c>
      <c r="AV19" s="29">
        <f>G19*AN19</f>
        <v>0</v>
      </c>
      <c r="AW19" s="29">
        <f>G19*AO19</f>
        <v>0</v>
      </c>
      <c r="AX19" s="30" t="s">
        <v>331</v>
      </c>
      <c r="AY19" s="30" t="s">
        <v>335</v>
      </c>
      <c r="AZ19" s="25" t="s">
        <v>337</v>
      </c>
      <c r="BB19" s="29">
        <f>AV19+AW19</f>
        <v>0</v>
      </c>
      <c r="BC19" s="29">
        <f>H19/(100-BD19)*100</f>
        <v>0</v>
      </c>
      <c r="BD19" s="29">
        <v>0</v>
      </c>
      <c r="BE19" s="29">
        <f>19</f>
        <v>19</v>
      </c>
      <c r="BG19" s="16">
        <f>G19*AN19</f>
        <v>0</v>
      </c>
      <c r="BH19" s="16">
        <f>G19*AO19</f>
        <v>0</v>
      </c>
      <c r="BI19" s="16">
        <f>G19*H19</f>
        <v>0</v>
      </c>
    </row>
    <row r="20" spans="3:7" ht="12.75">
      <c r="C20" s="142" t="s">
        <v>179</v>
      </c>
      <c r="D20" s="143"/>
      <c r="E20" s="143"/>
      <c r="G20" s="69">
        <v>1</v>
      </c>
    </row>
    <row r="21" spans="3:7" ht="12.75">
      <c r="C21" s="142" t="s">
        <v>180</v>
      </c>
      <c r="D21" s="143"/>
      <c r="E21" s="143"/>
      <c r="G21" s="69">
        <v>1</v>
      </c>
    </row>
    <row r="22" spans="3:7" ht="12.75">
      <c r="C22" s="142" t="s">
        <v>181</v>
      </c>
      <c r="D22" s="143"/>
      <c r="E22" s="143"/>
      <c r="G22" s="69">
        <v>1</v>
      </c>
    </row>
    <row r="23" spans="1:61" ht="12.75">
      <c r="A23" s="4" t="s">
        <v>10</v>
      </c>
      <c r="B23" s="4" t="s">
        <v>93</v>
      </c>
      <c r="C23" s="140" t="s">
        <v>184</v>
      </c>
      <c r="D23" s="141"/>
      <c r="E23" s="141"/>
      <c r="F23" s="4" t="s">
        <v>305</v>
      </c>
      <c r="G23" s="68">
        <v>5</v>
      </c>
      <c r="H23" s="16">
        <v>0</v>
      </c>
      <c r="I23" s="16">
        <f>G23*AN23</f>
        <v>0</v>
      </c>
      <c r="J23" s="16">
        <f>G23*AO23</f>
        <v>0</v>
      </c>
      <c r="K23" s="16">
        <f>G23*H23</f>
        <v>0</v>
      </c>
      <c r="Y23" s="29">
        <f>IF(AP23="5",BI23,0)</f>
        <v>0</v>
      </c>
      <c r="AA23" s="29">
        <f>IF(AP23="1",BG23,0)</f>
        <v>0</v>
      </c>
      <c r="AB23" s="29">
        <f>IF(AP23="1",BH23,0)</f>
        <v>0</v>
      </c>
      <c r="AC23" s="29">
        <f>IF(AP23="7",BG23,0)</f>
        <v>0</v>
      </c>
      <c r="AD23" s="29">
        <f>IF(AP23="7",BH23,0)</f>
        <v>0</v>
      </c>
      <c r="AE23" s="29">
        <f>IF(AP23="2",BG23,0)</f>
        <v>0</v>
      </c>
      <c r="AF23" s="29">
        <f>IF(AP23="2",BH23,0)</f>
        <v>0</v>
      </c>
      <c r="AG23" s="29">
        <f>IF(AP23="0",BI23,0)</f>
        <v>0</v>
      </c>
      <c r="AH23" s="25"/>
      <c r="AI23" s="16">
        <f>IF(AM23=0,K23,0)</f>
        <v>0</v>
      </c>
      <c r="AJ23" s="16">
        <f>IF(AM23=15,K23,0)</f>
        <v>0</v>
      </c>
      <c r="AK23" s="16">
        <f>IF(AM23=21,K23,0)</f>
        <v>0</v>
      </c>
      <c r="AM23" s="29">
        <v>21</v>
      </c>
      <c r="AN23" s="29">
        <f>H23*0</f>
        <v>0</v>
      </c>
      <c r="AO23" s="29">
        <f>H23*(1-0)</f>
        <v>0</v>
      </c>
      <c r="AP23" s="24" t="s">
        <v>13</v>
      </c>
      <c r="AU23" s="29">
        <f>AV23+AW23</f>
        <v>0</v>
      </c>
      <c r="AV23" s="29">
        <f>G23*AN23</f>
        <v>0</v>
      </c>
      <c r="AW23" s="29">
        <f>G23*AO23</f>
        <v>0</v>
      </c>
      <c r="AX23" s="30" t="s">
        <v>331</v>
      </c>
      <c r="AY23" s="30" t="s">
        <v>335</v>
      </c>
      <c r="AZ23" s="25" t="s">
        <v>337</v>
      </c>
      <c r="BB23" s="29">
        <f>AV23+AW23</f>
        <v>0</v>
      </c>
      <c r="BC23" s="29">
        <f>H23/(100-BD23)*100</f>
        <v>0</v>
      </c>
      <c r="BD23" s="29">
        <v>0</v>
      </c>
      <c r="BE23" s="29">
        <f>23</f>
        <v>23</v>
      </c>
      <c r="BG23" s="16">
        <f>G23*AN23</f>
        <v>0</v>
      </c>
      <c r="BH23" s="16">
        <f>G23*AO23</f>
        <v>0</v>
      </c>
      <c r="BI23" s="16">
        <f>G23*H23</f>
        <v>0</v>
      </c>
    </row>
    <row r="24" spans="3:7" ht="12.75">
      <c r="C24" s="142" t="s">
        <v>185</v>
      </c>
      <c r="D24" s="143"/>
      <c r="E24" s="143"/>
      <c r="G24" s="69">
        <v>2</v>
      </c>
    </row>
    <row r="25" spans="3:7" ht="12.75">
      <c r="C25" s="142" t="s">
        <v>180</v>
      </c>
      <c r="D25" s="143"/>
      <c r="E25" s="143"/>
      <c r="G25" s="69">
        <v>1</v>
      </c>
    </row>
    <row r="26" spans="3:7" ht="12.75">
      <c r="C26" s="142" t="s">
        <v>181</v>
      </c>
      <c r="D26" s="143"/>
      <c r="E26" s="143"/>
      <c r="G26" s="69">
        <v>1</v>
      </c>
    </row>
    <row r="27" spans="3:7" ht="12.75">
      <c r="C27" s="142" t="s">
        <v>186</v>
      </c>
      <c r="D27" s="143"/>
      <c r="E27" s="143"/>
      <c r="G27" s="69">
        <v>1</v>
      </c>
    </row>
    <row r="28" spans="1:61" ht="12.75">
      <c r="A28" s="4" t="s">
        <v>11</v>
      </c>
      <c r="B28" s="4" t="s">
        <v>94</v>
      </c>
      <c r="C28" s="140" t="s">
        <v>187</v>
      </c>
      <c r="D28" s="141"/>
      <c r="E28" s="141"/>
      <c r="F28" s="4" t="s">
        <v>305</v>
      </c>
      <c r="G28" s="68">
        <v>2</v>
      </c>
      <c r="H28" s="16">
        <v>0</v>
      </c>
      <c r="I28" s="16">
        <f>G28*AN28</f>
        <v>0</v>
      </c>
      <c r="J28" s="16">
        <f>G28*AO28</f>
        <v>0</v>
      </c>
      <c r="K28" s="16">
        <f>G28*H28</f>
        <v>0</v>
      </c>
      <c r="Y28" s="29">
        <f>IF(AP28="5",BI28,0)</f>
        <v>0</v>
      </c>
      <c r="AA28" s="29">
        <f>IF(AP28="1",BG28,0)</f>
        <v>0</v>
      </c>
      <c r="AB28" s="29">
        <f>IF(AP28="1",BH28,0)</f>
        <v>0</v>
      </c>
      <c r="AC28" s="29">
        <f>IF(AP28="7",BG28,0)</f>
        <v>0</v>
      </c>
      <c r="AD28" s="29">
        <f>IF(AP28="7",BH28,0)</f>
        <v>0</v>
      </c>
      <c r="AE28" s="29">
        <f>IF(AP28="2",BG28,0)</f>
        <v>0</v>
      </c>
      <c r="AF28" s="29">
        <f>IF(AP28="2",BH28,0)</f>
        <v>0</v>
      </c>
      <c r="AG28" s="29">
        <f>IF(AP28="0",BI28,0)</f>
        <v>0</v>
      </c>
      <c r="AH28" s="25"/>
      <c r="AI28" s="16">
        <f>IF(AM28=0,K28,0)</f>
        <v>0</v>
      </c>
      <c r="AJ28" s="16">
        <f>IF(AM28=15,K28,0)</f>
        <v>0</v>
      </c>
      <c r="AK28" s="16">
        <f>IF(AM28=21,K28,0)</f>
        <v>0</v>
      </c>
      <c r="AM28" s="29">
        <v>21</v>
      </c>
      <c r="AN28" s="29">
        <f>H28*0.220139616055846</f>
        <v>0</v>
      </c>
      <c r="AO28" s="29">
        <f>H28*(1-0.220139616055846)</f>
        <v>0</v>
      </c>
      <c r="AP28" s="24" t="s">
        <v>13</v>
      </c>
      <c r="AU28" s="29">
        <f>AV28+AW28</f>
        <v>0</v>
      </c>
      <c r="AV28" s="29">
        <f>G28*AN28</f>
        <v>0</v>
      </c>
      <c r="AW28" s="29">
        <f>G28*AO28</f>
        <v>0</v>
      </c>
      <c r="AX28" s="30" t="s">
        <v>331</v>
      </c>
      <c r="AY28" s="30" t="s">
        <v>335</v>
      </c>
      <c r="AZ28" s="25" t="s">
        <v>337</v>
      </c>
      <c r="BB28" s="29">
        <f>AV28+AW28</f>
        <v>0</v>
      </c>
      <c r="BC28" s="29">
        <f>H28/(100-BD28)*100</f>
        <v>0</v>
      </c>
      <c r="BD28" s="29">
        <v>0</v>
      </c>
      <c r="BE28" s="29">
        <f>28</f>
        <v>28</v>
      </c>
      <c r="BG28" s="16">
        <f>G28*AN28</f>
        <v>0</v>
      </c>
      <c r="BH28" s="16">
        <f>G28*AO28</f>
        <v>0</v>
      </c>
      <c r="BI28" s="16">
        <f>G28*H28</f>
        <v>0</v>
      </c>
    </row>
    <row r="29" spans="3:7" ht="12.75">
      <c r="C29" s="142" t="s">
        <v>180</v>
      </c>
      <c r="D29" s="143"/>
      <c r="E29" s="143"/>
      <c r="G29" s="69">
        <v>1</v>
      </c>
    </row>
    <row r="30" spans="3:7" ht="12.75">
      <c r="C30" s="142" t="s">
        <v>181</v>
      </c>
      <c r="D30" s="143"/>
      <c r="E30" s="143"/>
      <c r="G30" s="69">
        <v>1</v>
      </c>
    </row>
    <row r="31" spans="1:61" ht="12.75">
      <c r="A31" s="4" t="s">
        <v>12</v>
      </c>
      <c r="B31" s="4" t="s">
        <v>95</v>
      </c>
      <c r="C31" s="140" t="s">
        <v>188</v>
      </c>
      <c r="D31" s="141"/>
      <c r="E31" s="141"/>
      <c r="F31" s="4" t="s">
        <v>305</v>
      </c>
      <c r="G31" s="68">
        <v>2</v>
      </c>
      <c r="H31" s="16">
        <v>0</v>
      </c>
      <c r="I31" s="16">
        <f>G31*AN31</f>
        <v>0</v>
      </c>
      <c r="J31" s="16">
        <f>G31*AO31</f>
        <v>0</v>
      </c>
      <c r="K31" s="16">
        <f>G31*H31</f>
        <v>0</v>
      </c>
      <c r="Y31" s="29">
        <f>IF(AP31="5",BI31,0)</f>
        <v>0</v>
      </c>
      <c r="AA31" s="29">
        <f>IF(AP31="1",BG31,0)</f>
        <v>0</v>
      </c>
      <c r="AB31" s="29">
        <f>IF(AP31="1",BH31,0)</f>
        <v>0</v>
      </c>
      <c r="AC31" s="29">
        <f>IF(AP31="7",BG31,0)</f>
        <v>0</v>
      </c>
      <c r="AD31" s="29">
        <f>IF(AP31="7",BH31,0)</f>
        <v>0</v>
      </c>
      <c r="AE31" s="29">
        <f>IF(AP31="2",BG31,0)</f>
        <v>0</v>
      </c>
      <c r="AF31" s="29">
        <f>IF(AP31="2",BH31,0)</f>
        <v>0</v>
      </c>
      <c r="AG31" s="29">
        <f>IF(AP31="0",BI31,0)</f>
        <v>0</v>
      </c>
      <c r="AH31" s="25"/>
      <c r="AI31" s="16">
        <f>IF(AM31=0,K31,0)</f>
        <v>0</v>
      </c>
      <c r="AJ31" s="16">
        <f>IF(AM31=15,K31,0)</f>
        <v>0</v>
      </c>
      <c r="AK31" s="16">
        <f>IF(AM31=21,K31,0)</f>
        <v>0</v>
      </c>
      <c r="AM31" s="29">
        <v>21</v>
      </c>
      <c r="AN31" s="29">
        <f>H31*0.336832740213523</f>
        <v>0</v>
      </c>
      <c r="AO31" s="29">
        <f>H31*(1-0.336832740213523)</f>
        <v>0</v>
      </c>
      <c r="AP31" s="24" t="s">
        <v>13</v>
      </c>
      <c r="AU31" s="29">
        <f>AV31+AW31</f>
        <v>0</v>
      </c>
      <c r="AV31" s="29">
        <f>G31*AN31</f>
        <v>0</v>
      </c>
      <c r="AW31" s="29">
        <f>G31*AO31</f>
        <v>0</v>
      </c>
      <c r="AX31" s="30" t="s">
        <v>331</v>
      </c>
      <c r="AY31" s="30" t="s">
        <v>335</v>
      </c>
      <c r="AZ31" s="25" t="s">
        <v>337</v>
      </c>
      <c r="BB31" s="29">
        <f>AV31+AW31</f>
        <v>0</v>
      </c>
      <c r="BC31" s="29">
        <f>H31/(100-BD31)*100</f>
        <v>0</v>
      </c>
      <c r="BD31" s="29">
        <v>0</v>
      </c>
      <c r="BE31" s="29">
        <f>31</f>
        <v>31</v>
      </c>
      <c r="BG31" s="16">
        <f>G31*AN31</f>
        <v>0</v>
      </c>
      <c r="BH31" s="16">
        <f>G31*AO31</f>
        <v>0</v>
      </c>
      <c r="BI31" s="16">
        <f>G31*H31</f>
        <v>0</v>
      </c>
    </row>
    <row r="32" spans="3:7" ht="12.75">
      <c r="C32" s="142" t="s">
        <v>189</v>
      </c>
      <c r="D32" s="143"/>
      <c r="E32" s="143"/>
      <c r="G32" s="69">
        <v>0</v>
      </c>
    </row>
    <row r="33" spans="3:7" ht="12.75">
      <c r="C33" s="142" t="s">
        <v>190</v>
      </c>
      <c r="D33" s="143"/>
      <c r="E33" s="143"/>
      <c r="G33" s="69">
        <v>1</v>
      </c>
    </row>
    <row r="34" spans="3:7" ht="12.75">
      <c r="C34" s="142" t="s">
        <v>191</v>
      </c>
      <c r="D34" s="143"/>
      <c r="E34" s="143"/>
      <c r="G34" s="69">
        <v>1</v>
      </c>
    </row>
    <row r="35" spans="1:61" ht="12.75">
      <c r="A35" s="4" t="s">
        <v>13</v>
      </c>
      <c r="B35" s="4" t="s">
        <v>96</v>
      </c>
      <c r="C35" s="140" t="s">
        <v>192</v>
      </c>
      <c r="D35" s="141"/>
      <c r="E35" s="141"/>
      <c r="F35" s="4" t="s">
        <v>305</v>
      </c>
      <c r="G35" s="68">
        <v>2</v>
      </c>
      <c r="H35" s="16">
        <v>0</v>
      </c>
      <c r="I35" s="16">
        <f>G35*AN35</f>
        <v>0</v>
      </c>
      <c r="J35" s="16">
        <f>G35*AO35</f>
        <v>0</v>
      </c>
      <c r="K35" s="16">
        <f>G35*H35</f>
        <v>0</v>
      </c>
      <c r="Y35" s="29">
        <f>IF(AP35="5",BI35,0)</f>
        <v>0</v>
      </c>
      <c r="AA35" s="29">
        <f>IF(AP35="1",BG35,0)</f>
        <v>0</v>
      </c>
      <c r="AB35" s="29">
        <f>IF(AP35="1",BH35,0)</f>
        <v>0</v>
      </c>
      <c r="AC35" s="29">
        <f>IF(AP35="7",BG35,0)</f>
        <v>0</v>
      </c>
      <c r="AD35" s="29">
        <f>IF(AP35="7",BH35,0)</f>
        <v>0</v>
      </c>
      <c r="AE35" s="29">
        <f>IF(AP35="2",BG35,0)</f>
        <v>0</v>
      </c>
      <c r="AF35" s="29">
        <f>IF(AP35="2",BH35,0)</f>
        <v>0</v>
      </c>
      <c r="AG35" s="29">
        <f>IF(AP35="0",BI35,0)</f>
        <v>0</v>
      </c>
      <c r="AH35" s="25"/>
      <c r="AI35" s="16">
        <f>IF(AM35=0,K35,0)</f>
        <v>0</v>
      </c>
      <c r="AJ35" s="16">
        <f>IF(AM35=15,K35,0)</f>
        <v>0</v>
      </c>
      <c r="AK35" s="16">
        <f>IF(AM35=21,K35,0)</f>
        <v>0</v>
      </c>
      <c r="AM35" s="29">
        <v>21</v>
      </c>
      <c r="AN35" s="29">
        <f>H35*0</f>
        <v>0</v>
      </c>
      <c r="AO35" s="29">
        <f>H35*(1-0)</f>
        <v>0</v>
      </c>
      <c r="AP35" s="24" t="s">
        <v>13</v>
      </c>
      <c r="AU35" s="29">
        <f>AV35+AW35</f>
        <v>0</v>
      </c>
      <c r="AV35" s="29">
        <f>G35*AN35</f>
        <v>0</v>
      </c>
      <c r="AW35" s="29">
        <f>G35*AO35</f>
        <v>0</v>
      </c>
      <c r="AX35" s="30" t="s">
        <v>331</v>
      </c>
      <c r="AY35" s="30" t="s">
        <v>335</v>
      </c>
      <c r="AZ35" s="25" t="s">
        <v>337</v>
      </c>
      <c r="BB35" s="29">
        <f>AV35+AW35</f>
        <v>0</v>
      </c>
      <c r="BC35" s="29">
        <f>H35/(100-BD35)*100</f>
        <v>0</v>
      </c>
      <c r="BD35" s="29">
        <v>0</v>
      </c>
      <c r="BE35" s="29">
        <f>35</f>
        <v>35</v>
      </c>
      <c r="BG35" s="16">
        <f>G35*AN35</f>
        <v>0</v>
      </c>
      <c r="BH35" s="16">
        <f>G35*AO35</f>
        <v>0</v>
      </c>
      <c r="BI35" s="16">
        <f>G35*H35</f>
        <v>0</v>
      </c>
    </row>
    <row r="36" spans="3:7" ht="12.75">
      <c r="C36" s="142" t="s">
        <v>193</v>
      </c>
      <c r="D36" s="143"/>
      <c r="E36" s="143"/>
      <c r="G36" s="69">
        <v>2</v>
      </c>
    </row>
    <row r="37" spans="1:61" ht="12.75">
      <c r="A37" s="4" t="s">
        <v>14</v>
      </c>
      <c r="B37" s="4" t="s">
        <v>97</v>
      </c>
      <c r="C37" s="140" t="s">
        <v>194</v>
      </c>
      <c r="D37" s="141"/>
      <c r="E37" s="141"/>
      <c r="F37" s="4" t="s">
        <v>306</v>
      </c>
      <c r="G37" s="68">
        <v>2</v>
      </c>
      <c r="H37" s="16">
        <v>0</v>
      </c>
      <c r="I37" s="16">
        <f>G37*AN37</f>
        <v>0</v>
      </c>
      <c r="J37" s="16">
        <f>G37*AO37</f>
        <v>0</v>
      </c>
      <c r="K37" s="16">
        <f>G37*H37</f>
        <v>0</v>
      </c>
      <c r="Y37" s="29">
        <f>IF(AP37="5",BI37,0)</f>
        <v>0</v>
      </c>
      <c r="AA37" s="29">
        <f>IF(AP37="1",BG37,0)</f>
        <v>0</v>
      </c>
      <c r="AB37" s="29">
        <f>IF(AP37="1",BH37,0)</f>
        <v>0</v>
      </c>
      <c r="AC37" s="29">
        <f>IF(AP37="7",BG37,0)</f>
        <v>0</v>
      </c>
      <c r="AD37" s="29">
        <f>IF(AP37="7",BH37,0)</f>
        <v>0</v>
      </c>
      <c r="AE37" s="29">
        <f>IF(AP37="2",BG37,0)</f>
        <v>0</v>
      </c>
      <c r="AF37" s="29">
        <f>IF(AP37="2",BH37,0)</f>
        <v>0</v>
      </c>
      <c r="AG37" s="29">
        <f>IF(AP37="0",BI37,0)</f>
        <v>0</v>
      </c>
      <c r="AH37" s="25"/>
      <c r="AI37" s="16">
        <f>IF(AM37=0,K37,0)</f>
        <v>0</v>
      </c>
      <c r="AJ37" s="16">
        <f>IF(AM37=15,K37,0)</f>
        <v>0</v>
      </c>
      <c r="AK37" s="16">
        <f>IF(AM37=21,K37,0)</f>
        <v>0</v>
      </c>
      <c r="AM37" s="29">
        <v>21</v>
      </c>
      <c r="AN37" s="29">
        <f>H37*0.32483300589391</f>
        <v>0</v>
      </c>
      <c r="AO37" s="29">
        <f>H37*(1-0.32483300589391)</f>
        <v>0</v>
      </c>
      <c r="AP37" s="24" t="s">
        <v>13</v>
      </c>
      <c r="AU37" s="29">
        <f>AV37+AW37</f>
        <v>0</v>
      </c>
      <c r="AV37" s="29">
        <f>G37*AN37</f>
        <v>0</v>
      </c>
      <c r="AW37" s="29">
        <f>G37*AO37</f>
        <v>0</v>
      </c>
      <c r="AX37" s="30" t="s">
        <v>331</v>
      </c>
      <c r="AY37" s="30" t="s">
        <v>335</v>
      </c>
      <c r="AZ37" s="25" t="s">
        <v>337</v>
      </c>
      <c r="BB37" s="29">
        <f>AV37+AW37</f>
        <v>0</v>
      </c>
      <c r="BC37" s="29">
        <f>H37/(100-BD37)*100</f>
        <v>0</v>
      </c>
      <c r="BD37" s="29">
        <v>0</v>
      </c>
      <c r="BE37" s="29">
        <f>37</f>
        <v>37</v>
      </c>
      <c r="BG37" s="16">
        <f>G37*AN37</f>
        <v>0</v>
      </c>
      <c r="BH37" s="16">
        <f>G37*AO37</f>
        <v>0</v>
      </c>
      <c r="BI37" s="16">
        <f>G37*H37</f>
        <v>0</v>
      </c>
    </row>
    <row r="38" spans="3:7" ht="12.75">
      <c r="C38" s="142" t="s">
        <v>193</v>
      </c>
      <c r="D38" s="143"/>
      <c r="E38" s="143"/>
      <c r="G38" s="69">
        <v>2</v>
      </c>
    </row>
    <row r="39" spans="1:61" ht="12.75">
      <c r="A39" s="4" t="s">
        <v>15</v>
      </c>
      <c r="B39" s="4" t="s">
        <v>98</v>
      </c>
      <c r="C39" s="140" t="s">
        <v>195</v>
      </c>
      <c r="D39" s="141"/>
      <c r="E39" s="141"/>
      <c r="F39" s="4" t="s">
        <v>306</v>
      </c>
      <c r="G39" s="68">
        <v>2</v>
      </c>
      <c r="H39" s="16">
        <v>0</v>
      </c>
      <c r="I39" s="16">
        <f>G39*AN39</f>
        <v>0</v>
      </c>
      <c r="J39" s="16">
        <f>G39*AO39</f>
        <v>0</v>
      </c>
      <c r="K39" s="16">
        <f>G39*H39</f>
        <v>0</v>
      </c>
      <c r="Y39" s="29">
        <f>IF(AP39="5",BI39,0)</f>
        <v>0</v>
      </c>
      <c r="AA39" s="29">
        <f>IF(AP39="1",BG39,0)</f>
        <v>0</v>
      </c>
      <c r="AB39" s="29">
        <f>IF(AP39="1",BH39,0)</f>
        <v>0</v>
      </c>
      <c r="AC39" s="29">
        <f>IF(AP39="7",BG39,0)</f>
        <v>0</v>
      </c>
      <c r="AD39" s="29">
        <f>IF(AP39="7",BH39,0)</f>
        <v>0</v>
      </c>
      <c r="AE39" s="29">
        <f>IF(AP39="2",BG39,0)</f>
        <v>0</v>
      </c>
      <c r="AF39" s="29">
        <f>IF(AP39="2",BH39,0)</f>
        <v>0</v>
      </c>
      <c r="AG39" s="29">
        <f>IF(AP39="0",BI39,0)</f>
        <v>0</v>
      </c>
      <c r="AH39" s="25"/>
      <c r="AI39" s="16">
        <f>IF(AM39=0,K39,0)</f>
        <v>0</v>
      </c>
      <c r="AJ39" s="16">
        <f>IF(AM39=15,K39,0)</f>
        <v>0</v>
      </c>
      <c r="AK39" s="16">
        <f>IF(AM39=21,K39,0)</f>
        <v>0</v>
      </c>
      <c r="AM39" s="29">
        <v>21</v>
      </c>
      <c r="AN39" s="29">
        <f>H39*0.339827586206897</f>
        <v>0</v>
      </c>
      <c r="AO39" s="29">
        <f>H39*(1-0.339827586206897)</f>
        <v>0</v>
      </c>
      <c r="AP39" s="24" t="s">
        <v>13</v>
      </c>
      <c r="AU39" s="29">
        <f>AV39+AW39</f>
        <v>0</v>
      </c>
      <c r="AV39" s="29">
        <f>G39*AN39</f>
        <v>0</v>
      </c>
      <c r="AW39" s="29">
        <f>G39*AO39</f>
        <v>0</v>
      </c>
      <c r="AX39" s="30" t="s">
        <v>331</v>
      </c>
      <c r="AY39" s="30" t="s">
        <v>335</v>
      </c>
      <c r="AZ39" s="25" t="s">
        <v>337</v>
      </c>
      <c r="BB39" s="29">
        <f>AV39+AW39</f>
        <v>0</v>
      </c>
      <c r="BC39" s="29">
        <f>H39/(100-BD39)*100</f>
        <v>0</v>
      </c>
      <c r="BD39" s="29">
        <v>0</v>
      </c>
      <c r="BE39" s="29">
        <f>39</f>
        <v>39</v>
      </c>
      <c r="BG39" s="16">
        <f>G39*AN39</f>
        <v>0</v>
      </c>
      <c r="BH39" s="16">
        <f>G39*AO39</f>
        <v>0</v>
      </c>
      <c r="BI39" s="16">
        <f>G39*H39</f>
        <v>0</v>
      </c>
    </row>
    <row r="40" spans="3:7" ht="12.75">
      <c r="C40" s="142" t="s">
        <v>193</v>
      </c>
      <c r="D40" s="143"/>
      <c r="E40" s="143"/>
      <c r="G40" s="69">
        <v>2</v>
      </c>
    </row>
    <row r="41" spans="1:61" ht="12.75">
      <c r="A41" s="4" t="s">
        <v>16</v>
      </c>
      <c r="B41" s="4" t="s">
        <v>99</v>
      </c>
      <c r="C41" s="140" t="s">
        <v>196</v>
      </c>
      <c r="D41" s="141"/>
      <c r="E41" s="141"/>
      <c r="F41" s="4" t="s">
        <v>306</v>
      </c>
      <c r="G41" s="68">
        <v>6</v>
      </c>
      <c r="H41" s="16">
        <v>0</v>
      </c>
      <c r="I41" s="16">
        <f>G41*AN41</f>
        <v>0</v>
      </c>
      <c r="J41" s="16">
        <f>G41*AO41</f>
        <v>0</v>
      </c>
      <c r="K41" s="16">
        <f>G41*H41</f>
        <v>0</v>
      </c>
      <c r="Y41" s="29">
        <f>IF(AP41="5",BI41,0)</f>
        <v>0</v>
      </c>
      <c r="AA41" s="29">
        <f>IF(AP41="1",BG41,0)</f>
        <v>0</v>
      </c>
      <c r="AB41" s="29">
        <f>IF(AP41="1",BH41,0)</f>
        <v>0</v>
      </c>
      <c r="AC41" s="29">
        <f>IF(AP41="7",BG41,0)</f>
        <v>0</v>
      </c>
      <c r="AD41" s="29">
        <f>IF(AP41="7",BH41,0)</f>
        <v>0</v>
      </c>
      <c r="AE41" s="29">
        <f>IF(AP41="2",BG41,0)</f>
        <v>0</v>
      </c>
      <c r="AF41" s="29">
        <f>IF(AP41="2",BH41,0)</f>
        <v>0</v>
      </c>
      <c r="AG41" s="29">
        <f>IF(AP41="0",BI41,0)</f>
        <v>0</v>
      </c>
      <c r="AH41" s="25"/>
      <c r="AI41" s="16">
        <f>IF(AM41=0,K41,0)</f>
        <v>0</v>
      </c>
      <c r="AJ41" s="16">
        <f>IF(AM41=15,K41,0)</f>
        <v>0</v>
      </c>
      <c r="AK41" s="16">
        <f>IF(AM41=21,K41,0)</f>
        <v>0</v>
      </c>
      <c r="AM41" s="29">
        <v>21</v>
      </c>
      <c r="AN41" s="29">
        <f>H41*0.418488549618321</f>
        <v>0</v>
      </c>
      <c r="AO41" s="29">
        <f>H41*(1-0.418488549618321)</f>
        <v>0</v>
      </c>
      <c r="AP41" s="24" t="s">
        <v>13</v>
      </c>
      <c r="AU41" s="29">
        <f>AV41+AW41</f>
        <v>0</v>
      </c>
      <c r="AV41" s="29">
        <f>G41*AN41</f>
        <v>0</v>
      </c>
      <c r="AW41" s="29">
        <f>G41*AO41</f>
        <v>0</v>
      </c>
      <c r="AX41" s="30" t="s">
        <v>331</v>
      </c>
      <c r="AY41" s="30" t="s">
        <v>335</v>
      </c>
      <c r="AZ41" s="25" t="s">
        <v>337</v>
      </c>
      <c r="BB41" s="29">
        <f>AV41+AW41</f>
        <v>0</v>
      </c>
      <c r="BC41" s="29">
        <f>H41/(100-BD41)*100</f>
        <v>0</v>
      </c>
      <c r="BD41" s="29">
        <v>0</v>
      </c>
      <c r="BE41" s="29">
        <f>41</f>
        <v>41</v>
      </c>
      <c r="BG41" s="16">
        <f>G41*AN41</f>
        <v>0</v>
      </c>
      <c r="BH41" s="16">
        <f>G41*AO41</f>
        <v>0</v>
      </c>
      <c r="BI41" s="16">
        <f>G41*H41</f>
        <v>0</v>
      </c>
    </row>
    <row r="42" spans="3:7" ht="12.75">
      <c r="C42" s="142" t="s">
        <v>197</v>
      </c>
      <c r="D42" s="143"/>
      <c r="E42" s="143"/>
      <c r="G42" s="69">
        <v>6</v>
      </c>
    </row>
    <row r="43" spans="1:61" ht="12.75">
      <c r="A43" s="4" t="s">
        <v>17</v>
      </c>
      <c r="B43" s="4" t="s">
        <v>100</v>
      </c>
      <c r="C43" s="140" t="s">
        <v>198</v>
      </c>
      <c r="D43" s="141"/>
      <c r="E43" s="141"/>
      <c r="F43" s="4" t="s">
        <v>306</v>
      </c>
      <c r="G43" s="68">
        <v>6</v>
      </c>
      <c r="H43" s="16">
        <v>0</v>
      </c>
      <c r="I43" s="16">
        <f>G43*AN43</f>
        <v>0</v>
      </c>
      <c r="J43" s="16">
        <f>G43*AO43</f>
        <v>0</v>
      </c>
      <c r="K43" s="16">
        <f>G43*H43</f>
        <v>0</v>
      </c>
      <c r="Y43" s="29">
        <f>IF(AP43="5",BI43,0)</f>
        <v>0</v>
      </c>
      <c r="AA43" s="29">
        <f>IF(AP43="1",BG43,0)</f>
        <v>0</v>
      </c>
      <c r="AB43" s="29">
        <f>IF(AP43="1",BH43,0)</f>
        <v>0</v>
      </c>
      <c r="AC43" s="29">
        <f>IF(AP43="7",BG43,0)</f>
        <v>0</v>
      </c>
      <c r="AD43" s="29">
        <f>IF(AP43="7",BH43,0)</f>
        <v>0</v>
      </c>
      <c r="AE43" s="29">
        <f>IF(AP43="2",BG43,0)</f>
        <v>0</v>
      </c>
      <c r="AF43" s="29">
        <f>IF(AP43="2",BH43,0)</f>
        <v>0</v>
      </c>
      <c r="AG43" s="29">
        <f>IF(AP43="0",BI43,0)</f>
        <v>0</v>
      </c>
      <c r="AH43" s="25"/>
      <c r="AI43" s="16">
        <f>IF(AM43=0,K43,0)</f>
        <v>0</v>
      </c>
      <c r="AJ43" s="16">
        <f>IF(AM43=15,K43,0)</f>
        <v>0</v>
      </c>
      <c r="AK43" s="16">
        <f>IF(AM43=21,K43,0)</f>
        <v>0</v>
      </c>
      <c r="AM43" s="29">
        <v>21</v>
      </c>
      <c r="AN43" s="29">
        <f>H43*0.451648822269807</f>
        <v>0</v>
      </c>
      <c r="AO43" s="29">
        <f>H43*(1-0.451648822269807)</f>
        <v>0</v>
      </c>
      <c r="AP43" s="24" t="s">
        <v>13</v>
      </c>
      <c r="AU43" s="29">
        <f>AV43+AW43</f>
        <v>0</v>
      </c>
      <c r="AV43" s="29">
        <f>G43*AN43</f>
        <v>0</v>
      </c>
      <c r="AW43" s="29">
        <f>G43*AO43</f>
        <v>0</v>
      </c>
      <c r="AX43" s="30" t="s">
        <v>331</v>
      </c>
      <c r="AY43" s="30" t="s">
        <v>335</v>
      </c>
      <c r="AZ43" s="25" t="s">
        <v>337</v>
      </c>
      <c r="BB43" s="29">
        <f>AV43+AW43</f>
        <v>0</v>
      </c>
      <c r="BC43" s="29">
        <f>H43/(100-BD43)*100</f>
        <v>0</v>
      </c>
      <c r="BD43" s="29">
        <v>0</v>
      </c>
      <c r="BE43" s="29">
        <f>43</f>
        <v>43</v>
      </c>
      <c r="BG43" s="16">
        <f>G43*AN43</f>
        <v>0</v>
      </c>
      <c r="BH43" s="16">
        <f>G43*AO43</f>
        <v>0</v>
      </c>
      <c r="BI43" s="16">
        <f>G43*H43</f>
        <v>0</v>
      </c>
    </row>
    <row r="44" spans="3:7" ht="12.75">
      <c r="C44" s="142" t="s">
        <v>197</v>
      </c>
      <c r="D44" s="143"/>
      <c r="E44" s="143"/>
      <c r="G44" s="69">
        <v>6</v>
      </c>
    </row>
    <row r="45" spans="1:61" ht="12.75">
      <c r="A45" s="4" t="s">
        <v>18</v>
      </c>
      <c r="B45" s="4" t="s">
        <v>101</v>
      </c>
      <c r="C45" s="140" t="s">
        <v>199</v>
      </c>
      <c r="D45" s="141"/>
      <c r="E45" s="141"/>
      <c r="F45" s="4" t="s">
        <v>306</v>
      </c>
      <c r="G45" s="68">
        <v>6</v>
      </c>
      <c r="H45" s="16">
        <v>0</v>
      </c>
      <c r="I45" s="16">
        <f>G45*AN45</f>
        <v>0</v>
      </c>
      <c r="J45" s="16">
        <f>G45*AO45</f>
        <v>0</v>
      </c>
      <c r="K45" s="16">
        <f>G45*H45</f>
        <v>0</v>
      </c>
      <c r="Y45" s="29">
        <f>IF(AP45="5",BI45,0)</f>
        <v>0</v>
      </c>
      <c r="AA45" s="29">
        <f>IF(AP45="1",BG45,0)</f>
        <v>0</v>
      </c>
      <c r="AB45" s="29">
        <f>IF(AP45="1",BH45,0)</f>
        <v>0</v>
      </c>
      <c r="AC45" s="29">
        <f>IF(AP45="7",BG45,0)</f>
        <v>0</v>
      </c>
      <c r="AD45" s="29">
        <f>IF(AP45="7",BH45,0)</f>
        <v>0</v>
      </c>
      <c r="AE45" s="29">
        <f>IF(AP45="2",BG45,0)</f>
        <v>0</v>
      </c>
      <c r="AF45" s="29">
        <f>IF(AP45="2",BH45,0)</f>
        <v>0</v>
      </c>
      <c r="AG45" s="29">
        <f>IF(AP45="0",BI45,0)</f>
        <v>0</v>
      </c>
      <c r="AH45" s="25"/>
      <c r="AI45" s="16">
        <f>IF(AM45=0,K45,0)</f>
        <v>0</v>
      </c>
      <c r="AJ45" s="16">
        <f>IF(AM45=15,K45,0)</f>
        <v>0</v>
      </c>
      <c r="AK45" s="16">
        <f>IF(AM45=21,K45,0)</f>
        <v>0</v>
      </c>
      <c r="AM45" s="29">
        <v>21</v>
      </c>
      <c r="AN45" s="29">
        <f>H45*0.410907692307692</f>
        <v>0</v>
      </c>
      <c r="AO45" s="29">
        <f>H45*(1-0.410907692307692)</f>
        <v>0</v>
      </c>
      <c r="AP45" s="24" t="s">
        <v>13</v>
      </c>
      <c r="AU45" s="29">
        <f>AV45+AW45</f>
        <v>0</v>
      </c>
      <c r="AV45" s="29">
        <f>G45*AN45</f>
        <v>0</v>
      </c>
      <c r="AW45" s="29">
        <f>G45*AO45</f>
        <v>0</v>
      </c>
      <c r="AX45" s="30" t="s">
        <v>331</v>
      </c>
      <c r="AY45" s="30" t="s">
        <v>335</v>
      </c>
      <c r="AZ45" s="25" t="s">
        <v>337</v>
      </c>
      <c r="BB45" s="29">
        <f>AV45+AW45</f>
        <v>0</v>
      </c>
      <c r="BC45" s="29">
        <f>H45/(100-BD45)*100</f>
        <v>0</v>
      </c>
      <c r="BD45" s="29">
        <v>0</v>
      </c>
      <c r="BE45" s="29">
        <f>45</f>
        <v>45</v>
      </c>
      <c r="BG45" s="16">
        <f>G45*AN45</f>
        <v>0</v>
      </c>
      <c r="BH45" s="16">
        <f>G45*AO45</f>
        <v>0</v>
      </c>
      <c r="BI45" s="16">
        <f>G45*H45</f>
        <v>0</v>
      </c>
    </row>
    <row r="46" spans="3:7" ht="12.75">
      <c r="C46" s="142" t="s">
        <v>197</v>
      </c>
      <c r="D46" s="143"/>
      <c r="E46" s="143"/>
      <c r="G46" s="69">
        <v>6</v>
      </c>
    </row>
    <row r="47" spans="1:61" ht="12.75">
      <c r="A47" s="4" t="s">
        <v>19</v>
      </c>
      <c r="B47" s="4" t="s">
        <v>102</v>
      </c>
      <c r="C47" s="140" t="s">
        <v>200</v>
      </c>
      <c r="D47" s="141"/>
      <c r="E47" s="141"/>
      <c r="F47" s="4" t="s">
        <v>305</v>
      </c>
      <c r="G47" s="68">
        <v>2</v>
      </c>
      <c r="H47" s="16">
        <v>0</v>
      </c>
      <c r="I47" s="16">
        <f>G47*AN47</f>
        <v>0</v>
      </c>
      <c r="J47" s="16">
        <f>G47*AO47</f>
        <v>0</v>
      </c>
      <c r="K47" s="16">
        <f>G47*H47</f>
        <v>0</v>
      </c>
      <c r="Y47" s="29">
        <f>IF(AP47="5",BI47,0)</f>
        <v>0</v>
      </c>
      <c r="AA47" s="29">
        <f>IF(AP47="1",BG47,0)</f>
        <v>0</v>
      </c>
      <c r="AB47" s="29">
        <f>IF(AP47="1",BH47,0)</f>
        <v>0</v>
      </c>
      <c r="AC47" s="29">
        <f>IF(AP47="7",BG47,0)</f>
        <v>0</v>
      </c>
      <c r="AD47" s="29">
        <f>IF(AP47="7",BH47,0)</f>
        <v>0</v>
      </c>
      <c r="AE47" s="29">
        <f>IF(AP47="2",BG47,0)</f>
        <v>0</v>
      </c>
      <c r="AF47" s="29">
        <f>IF(AP47="2",BH47,0)</f>
        <v>0</v>
      </c>
      <c r="AG47" s="29">
        <f>IF(AP47="0",BI47,0)</f>
        <v>0</v>
      </c>
      <c r="AH47" s="25"/>
      <c r="AI47" s="16">
        <f>IF(AM47=0,K47,0)</f>
        <v>0</v>
      </c>
      <c r="AJ47" s="16">
        <f>IF(AM47=15,K47,0)</f>
        <v>0</v>
      </c>
      <c r="AK47" s="16">
        <f>IF(AM47=21,K47,0)</f>
        <v>0</v>
      </c>
      <c r="AM47" s="29">
        <v>21</v>
      </c>
      <c r="AN47" s="29">
        <f>H47*0</f>
        <v>0</v>
      </c>
      <c r="AO47" s="29">
        <f>H47*(1-0)</f>
        <v>0</v>
      </c>
      <c r="AP47" s="24" t="s">
        <v>13</v>
      </c>
      <c r="AU47" s="29">
        <f>AV47+AW47</f>
        <v>0</v>
      </c>
      <c r="AV47" s="29">
        <f>G47*AN47</f>
        <v>0</v>
      </c>
      <c r="AW47" s="29">
        <f>G47*AO47</f>
        <v>0</v>
      </c>
      <c r="AX47" s="30" t="s">
        <v>331</v>
      </c>
      <c r="AY47" s="30" t="s">
        <v>335</v>
      </c>
      <c r="AZ47" s="25" t="s">
        <v>337</v>
      </c>
      <c r="BB47" s="29">
        <f>AV47+AW47</f>
        <v>0</v>
      </c>
      <c r="BC47" s="29">
        <f>H47/(100-BD47)*100</f>
        <v>0</v>
      </c>
      <c r="BD47" s="29">
        <v>0</v>
      </c>
      <c r="BE47" s="29">
        <f>47</f>
        <v>47</v>
      </c>
      <c r="BG47" s="16">
        <f>G47*AN47</f>
        <v>0</v>
      </c>
      <c r="BH47" s="16">
        <f>G47*AO47</f>
        <v>0</v>
      </c>
      <c r="BI47" s="16">
        <f>G47*H47</f>
        <v>0</v>
      </c>
    </row>
    <row r="48" spans="3:7" ht="12.75">
      <c r="C48" s="142" t="s">
        <v>193</v>
      </c>
      <c r="D48" s="143"/>
      <c r="E48" s="143"/>
      <c r="G48" s="69">
        <v>2</v>
      </c>
    </row>
    <row r="49" spans="1:61" ht="12.75">
      <c r="A49" s="4" t="s">
        <v>20</v>
      </c>
      <c r="B49" s="4" t="s">
        <v>103</v>
      </c>
      <c r="C49" s="140" t="s">
        <v>201</v>
      </c>
      <c r="D49" s="141"/>
      <c r="E49" s="141"/>
      <c r="F49" s="4" t="s">
        <v>305</v>
      </c>
      <c r="G49" s="68">
        <v>3</v>
      </c>
      <c r="H49" s="16">
        <v>0</v>
      </c>
      <c r="I49" s="16">
        <f>G49*AN49</f>
        <v>0</v>
      </c>
      <c r="J49" s="16">
        <f>G49*AO49</f>
        <v>0</v>
      </c>
      <c r="K49" s="16">
        <f>G49*H49</f>
        <v>0</v>
      </c>
      <c r="Y49" s="29">
        <f>IF(AP49="5",BI49,0)</f>
        <v>0</v>
      </c>
      <c r="AA49" s="29">
        <f>IF(AP49="1",BG49,0)</f>
        <v>0</v>
      </c>
      <c r="AB49" s="29">
        <f>IF(AP49="1",BH49,0)</f>
        <v>0</v>
      </c>
      <c r="AC49" s="29">
        <f>IF(AP49="7",BG49,0)</f>
        <v>0</v>
      </c>
      <c r="AD49" s="29">
        <f>IF(AP49="7",BH49,0)</f>
        <v>0</v>
      </c>
      <c r="AE49" s="29">
        <f>IF(AP49="2",BG49,0)</f>
        <v>0</v>
      </c>
      <c r="AF49" s="29">
        <f>IF(AP49="2",BH49,0)</f>
        <v>0</v>
      </c>
      <c r="AG49" s="29">
        <f>IF(AP49="0",BI49,0)</f>
        <v>0</v>
      </c>
      <c r="AH49" s="25"/>
      <c r="AI49" s="16">
        <f>IF(AM49=0,K49,0)</f>
        <v>0</v>
      </c>
      <c r="AJ49" s="16">
        <f>IF(AM49=15,K49,0)</f>
        <v>0</v>
      </c>
      <c r="AK49" s="16">
        <f>IF(AM49=21,K49,0)</f>
        <v>0</v>
      </c>
      <c r="AM49" s="29">
        <v>21</v>
      </c>
      <c r="AN49" s="29">
        <f>H49*0</f>
        <v>0</v>
      </c>
      <c r="AO49" s="29">
        <f>H49*(1-0)</f>
        <v>0</v>
      </c>
      <c r="AP49" s="24" t="s">
        <v>13</v>
      </c>
      <c r="AU49" s="29">
        <f>AV49+AW49</f>
        <v>0</v>
      </c>
      <c r="AV49" s="29">
        <f>G49*AN49</f>
        <v>0</v>
      </c>
      <c r="AW49" s="29">
        <f>G49*AO49</f>
        <v>0</v>
      </c>
      <c r="AX49" s="30" t="s">
        <v>331</v>
      </c>
      <c r="AY49" s="30" t="s">
        <v>335</v>
      </c>
      <c r="AZ49" s="25" t="s">
        <v>337</v>
      </c>
      <c r="BB49" s="29">
        <f>AV49+AW49</f>
        <v>0</v>
      </c>
      <c r="BC49" s="29">
        <f>H49/(100-BD49)*100</f>
        <v>0</v>
      </c>
      <c r="BD49" s="29">
        <v>0</v>
      </c>
      <c r="BE49" s="29">
        <f>49</f>
        <v>49</v>
      </c>
      <c r="BG49" s="16">
        <f>G49*AN49</f>
        <v>0</v>
      </c>
      <c r="BH49" s="16">
        <f>G49*AO49</f>
        <v>0</v>
      </c>
      <c r="BI49" s="16">
        <f>G49*H49</f>
        <v>0</v>
      </c>
    </row>
    <row r="50" spans="3:7" ht="12.75">
      <c r="C50" s="142" t="s">
        <v>202</v>
      </c>
      <c r="D50" s="143"/>
      <c r="E50" s="143"/>
      <c r="G50" s="69">
        <v>3</v>
      </c>
    </row>
    <row r="51" spans="1:61" ht="12.75">
      <c r="A51" s="4" t="s">
        <v>21</v>
      </c>
      <c r="B51" s="4" t="s">
        <v>104</v>
      </c>
      <c r="C51" s="140" t="s">
        <v>203</v>
      </c>
      <c r="D51" s="141"/>
      <c r="E51" s="141"/>
      <c r="F51" s="4" t="s">
        <v>305</v>
      </c>
      <c r="G51" s="68">
        <v>3</v>
      </c>
      <c r="H51" s="16">
        <v>0</v>
      </c>
      <c r="I51" s="16">
        <f>G51*AN51</f>
        <v>0</v>
      </c>
      <c r="J51" s="16">
        <f>G51*AO51</f>
        <v>0</v>
      </c>
      <c r="K51" s="16">
        <f>G51*H51</f>
        <v>0</v>
      </c>
      <c r="Y51" s="29">
        <f>IF(AP51="5",BI51,0)</f>
        <v>0</v>
      </c>
      <c r="AA51" s="29">
        <f>IF(AP51="1",BG51,0)</f>
        <v>0</v>
      </c>
      <c r="AB51" s="29">
        <f>IF(AP51="1",BH51,0)</f>
        <v>0</v>
      </c>
      <c r="AC51" s="29">
        <f>IF(AP51="7",BG51,0)</f>
        <v>0</v>
      </c>
      <c r="AD51" s="29">
        <f>IF(AP51="7",BH51,0)</f>
        <v>0</v>
      </c>
      <c r="AE51" s="29">
        <f>IF(AP51="2",BG51,0)</f>
        <v>0</v>
      </c>
      <c r="AF51" s="29">
        <f>IF(AP51="2",BH51,0)</f>
        <v>0</v>
      </c>
      <c r="AG51" s="29">
        <f>IF(AP51="0",BI51,0)</f>
        <v>0</v>
      </c>
      <c r="AH51" s="25"/>
      <c r="AI51" s="16">
        <f>IF(AM51=0,K51,0)</f>
        <v>0</v>
      </c>
      <c r="AJ51" s="16">
        <f>IF(AM51=15,K51,0)</f>
        <v>0</v>
      </c>
      <c r="AK51" s="16">
        <f>IF(AM51=21,K51,0)</f>
        <v>0</v>
      </c>
      <c r="AM51" s="29">
        <v>21</v>
      </c>
      <c r="AN51" s="29">
        <f>H51*0</f>
        <v>0</v>
      </c>
      <c r="AO51" s="29">
        <f>H51*(1-0)</f>
        <v>0</v>
      </c>
      <c r="AP51" s="24" t="s">
        <v>13</v>
      </c>
      <c r="AU51" s="29">
        <f>AV51+AW51</f>
        <v>0</v>
      </c>
      <c r="AV51" s="29">
        <f>G51*AN51</f>
        <v>0</v>
      </c>
      <c r="AW51" s="29">
        <f>G51*AO51</f>
        <v>0</v>
      </c>
      <c r="AX51" s="30" t="s">
        <v>331</v>
      </c>
      <c r="AY51" s="30" t="s">
        <v>335</v>
      </c>
      <c r="AZ51" s="25" t="s">
        <v>337</v>
      </c>
      <c r="BB51" s="29">
        <f>AV51+AW51</f>
        <v>0</v>
      </c>
      <c r="BC51" s="29">
        <f>H51/(100-BD51)*100</f>
        <v>0</v>
      </c>
      <c r="BD51" s="29">
        <v>0</v>
      </c>
      <c r="BE51" s="29">
        <f>51</f>
        <v>51</v>
      </c>
      <c r="BG51" s="16">
        <f>G51*AN51</f>
        <v>0</v>
      </c>
      <c r="BH51" s="16">
        <f>G51*AO51</f>
        <v>0</v>
      </c>
      <c r="BI51" s="16">
        <f>G51*H51</f>
        <v>0</v>
      </c>
    </row>
    <row r="52" spans="3:7" ht="12.75">
      <c r="C52" s="142" t="s">
        <v>202</v>
      </c>
      <c r="D52" s="143"/>
      <c r="E52" s="143"/>
      <c r="G52" s="69">
        <v>3</v>
      </c>
    </row>
    <row r="53" spans="1:61" ht="12.75">
      <c r="A53" s="4" t="s">
        <v>22</v>
      </c>
      <c r="B53" s="4" t="s">
        <v>105</v>
      </c>
      <c r="C53" s="140" t="s">
        <v>204</v>
      </c>
      <c r="D53" s="141"/>
      <c r="E53" s="141"/>
      <c r="F53" s="4" t="s">
        <v>305</v>
      </c>
      <c r="G53" s="68">
        <v>1</v>
      </c>
      <c r="H53" s="16">
        <v>0</v>
      </c>
      <c r="I53" s="16">
        <f>G53*AN53</f>
        <v>0</v>
      </c>
      <c r="J53" s="16">
        <f>G53*AO53</f>
        <v>0</v>
      </c>
      <c r="K53" s="16">
        <f>G53*H53</f>
        <v>0</v>
      </c>
      <c r="Y53" s="29">
        <f>IF(AP53="5",BI53,0)</f>
        <v>0</v>
      </c>
      <c r="AA53" s="29">
        <f>IF(AP53="1",BG53,0)</f>
        <v>0</v>
      </c>
      <c r="AB53" s="29">
        <f>IF(AP53="1",BH53,0)</f>
        <v>0</v>
      </c>
      <c r="AC53" s="29">
        <f>IF(AP53="7",BG53,0)</f>
        <v>0</v>
      </c>
      <c r="AD53" s="29">
        <f>IF(AP53="7",BH53,0)</f>
        <v>0</v>
      </c>
      <c r="AE53" s="29">
        <f>IF(AP53="2",BG53,0)</f>
        <v>0</v>
      </c>
      <c r="AF53" s="29">
        <f>IF(AP53="2",BH53,0)</f>
        <v>0</v>
      </c>
      <c r="AG53" s="29">
        <f>IF(AP53="0",BI53,0)</f>
        <v>0</v>
      </c>
      <c r="AH53" s="25"/>
      <c r="AI53" s="16">
        <f>IF(AM53=0,K53,0)</f>
        <v>0</v>
      </c>
      <c r="AJ53" s="16">
        <f>IF(AM53=15,K53,0)</f>
        <v>0</v>
      </c>
      <c r="AK53" s="16">
        <f>IF(AM53=21,K53,0)</f>
        <v>0</v>
      </c>
      <c r="AM53" s="29">
        <v>21</v>
      </c>
      <c r="AN53" s="29">
        <f>H53*0.807835647687635</f>
        <v>0</v>
      </c>
      <c r="AO53" s="29">
        <f>H53*(1-0.807835647687635)</f>
        <v>0</v>
      </c>
      <c r="AP53" s="24" t="s">
        <v>13</v>
      </c>
      <c r="AU53" s="29">
        <f>AV53+AW53</f>
        <v>0</v>
      </c>
      <c r="AV53" s="29">
        <f>G53*AN53</f>
        <v>0</v>
      </c>
      <c r="AW53" s="29">
        <f>G53*AO53</f>
        <v>0</v>
      </c>
      <c r="AX53" s="30" t="s">
        <v>331</v>
      </c>
      <c r="AY53" s="30" t="s">
        <v>335</v>
      </c>
      <c r="AZ53" s="25" t="s">
        <v>337</v>
      </c>
      <c r="BB53" s="29">
        <f>AV53+AW53</f>
        <v>0</v>
      </c>
      <c r="BC53" s="29">
        <f>H53/(100-BD53)*100</f>
        <v>0</v>
      </c>
      <c r="BD53" s="29">
        <v>0</v>
      </c>
      <c r="BE53" s="29">
        <f>53</f>
        <v>53</v>
      </c>
      <c r="BG53" s="16">
        <f>G53*AN53</f>
        <v>0</v>
      </c>
      <c r="BH53" s="16">
        <f>G53*AO53</f>
        <v>0</v>
      </c>
      <c r="BI53" s="16">
        <f>G53*H53</f>
        <v>0</v>
      </c>
    </row>
    <row r="54" spans="3:5" ht="12.75">
      <c r="C54" s="151" t="s">
        <v>205</v>
      </c>
      <c r="D54" s="152"/>
      <c r="E54" s="152"/>
    </row>
    <row r="55" spans="3:7" ht="12.75">
      <c r="C55" s="142" t="s">
        <v>186</v>
      </c>
      <c r="D55" s="143"/>
      <c r="E55" s="143"/>
      <c r="G55" s="69">
        <v>1</v>
      </c>
    </row>
    <row r="56" spans="1:61" ht="12.75">
      <c r="A56" s="4" t="s">
        <v>23</v>
      </c>
      <c r="B56" s="4" t="s">
        <v>106</v>
      </c>
      <c r="C56" s="140" t="s">
        <v>206</v>
      </c>
      <c r="D56" s="141"/>
      <c r="E56" s="141"/>
      <c r="F56" s="4" t="s">
        <v>306</v>
      </c>
      <c r="G56" s="68">
        <v>20</v>
      </c>
      <c r="H56" s="16">
        <v>0</v>
      </c>
      <c r="I56" s="16">
        <f>G56*AN56</f>
        <v>0</v>
      </c>
      <c r="J56" s="16">
        <f>G56*AO56</f>
        <v>0</v>
      </c>
      <c r="K56" s="16">
        <f>G56*H56</f>
        <v>0</v>
      </c>
      <c r="Y56" s="29">
        <f>IF(AP56="5",BI56,0)</f>
        <v>0</v>
      </c>
      <c r="AA56" s="29">
        <f>IF(AP56="1",BG56,0)</f>
        <v>0</v>
      </c>
      <c r="AB56" s="29">
        <f>IF(AP56="1",BH56,0)</f>
        <v>0</v>
      </c>
      <c r="AC56" s="29">
        <f>IF(AP56="7",BG56,0)</f>
        <v>0</v>
      </c>
      <c r="AD56" s="29">
        <f>IF(AP56="7",BH56,0)</f>
        <v>0</v>
      </c>
      <c r="AE56" s="29">
        <f>IF(AP56="2",BG56,0)</f>
        <v>0</v>
      </c>
      <c r="AF56" s="29">
        <f>IF(AP56="2",BH56,0)</f>
        <v>0</v>
      </c>
      <c r="AG56" s="29">
        <f>IF(AP56="0",BI56,0)</f>
        <v>0</v>
      </c>
      <c r="AH56" s="25"/>
      <c r="AI56" s="16">
        <f>IF(AM56=0,K56,0)</f>
        <v>0</v>
      </c>
      <c r="AJ56" s="16">
        <f>IF(AM56=15,K56,0)</f>
        <v>0</v>
      </c>
      <c r="AK56" s="16">
        <f>IF(AM56=21,K56,0)</f>
        <v>0</v>
      </c>
      <c r="AM56" s="29">
        <v>21</v>
      </c>
      <c r="AN56" s="29">
        <f>H56*0.0254129606099111</f>
        <v>0</v>
      </c>
      <c r="AO56" s="29">
        <f>H56*(1-0.0254129606099111)</f>
        <v>0</v>
      </c>
      <c r="AP56" s="24" t="s">
        <v>13</v>
      </c>
      <c r="AU56" s="29">
        <f>AV56+AW56</f>
        <v>0</v>
      </c>
      <c r="AV56" s="29">
        <f>G56*AN56</f>
        <v>0</v>
      </c>
      <c r="AW56" s="29">
        <f>G56*AO56</f>
        <v>0</v>
      </c>
      <c r="AX56" s="30" t="s">
        <v>331</v>
      </c>
      <c r="AY56" s="30" t="s">
        <v>335</v>
      </c>
      <c r="AZ56" s="25" t="s">
        <v>337</v>
      </c>
      <c r="BB56" s="29">
        <f>AV56+AW56</f>
        <v>0</v>
      </c>
      <c r="BC56" s="29">
        <f>H56/(100-BD56)*100</f>
        <v>0</v>
      </c>
      <c r="BD56" s="29">
        <v>0</v>
      </c>
      <c r="BE56" s="29">
        <f>56</f>
        <v>56</v>
      </c>
      <c r="BG56" s="16">
        <f>G56*AN56</f>
        <v>0</v>
      </c>
      <c r="BH56" s="16">
        <f>G56*AO56</f>
        <v>0</v>
      </c>
      <c r="BI56" s="16">
        <f>G56*H56</f>
        <v>0</v>
      </c>
    </row>
    <row r="57" spans="3:7" ht="12.75">
      <c r="C57" s="142" t="s">
        <v>207</v>
      </c>
      <c r="D57" s="143"/>
      <c r="E57" s="143"/>
      <c r="G57" s="69">
        <v>20</v>
      </c>
    </row>
    <row r="58" spans="1:61" ht="12.75">
      <c r="A58" s="4" t="s">
        <v>24</v>
      </c>
      <c r="B58" s="4" t="s">
        <v>107</v>
      </c>
      <c r="C58" s="140" t="s">
        <v>208</v>
      </c>
      <c r="D58" s="141"/>
      <c r="E58" s="141"/>
      <c r="F58" s="4" t="s">
        <v>307</v>
      </c>
      <c r="G58" s="68">
        <v>0.085</v>
      </c>
      <c r="H58" s="16">
        <v>0</v>
      </c>
      <c r="I58" s="16">
        <f>G58*AN58</f>
        <v>0</v>
      </c>
      <c r="J58" s="16">
        <f>G58*AO58</f>
        <v>0</v>
      </c>
      <c r="K58" s="16">
        <f>G58*H58</f>
        <v>0</v>
      </c>
      <c r="Y58" s="29">
        <f>IF(AP58="5",BI58,0)</f>
        <v>0</v>
      </c>
      <c r="AA58" s="29">
        <f>IF(AP58="1",BG58,0)</f>
        <v>0</v>
      </c>
      <c r="AB58" s="29">
        <f>IF(AP58="1",BH58,0)</f>
        <v>0</v>
      </c>
      <c r="AC58" s="29">
        <f>IF(AP58="7",BG58,0)</f>
        <v>0</v>
      </c>
      <c r="AD58" s="29">
        <f>IF(AP58="7",BH58,0)</f>
        <v>0</v>
      </c>
      <c r="AE58" s="29">
        <f>IF(AP58="2",BG58,0)</f>
        <v>0</v>
      </c>
      <c r="AF58" s="29">
        <f>IF(AP58="2",BH58,0)</f>
        <v>0</v>
      </c>
      <c r="AG58" s="29">
        <f>IF(AP58="0",BI58,0)</f>
        <v>0</v>
      </c>
      <c r="AH58" s="25"/>
      <c r="AI58" s="16">
        <f>IF(AM58=0,K58,0)</f>
        <v>0</v>
      </c>
      <c r="AJ58" s="16">
        <f>IF(AM58=15,K58,0)</f>
        <v>0</v>
      </c>
      <c r="AK58" s="16">
        <f>IF(AM58=21,K58,0)</f>
        <v>0</v>
      </c>
      <c r="AM58" s="29">
        <v>21</v>
      </c>
      <c r="AN58" s="29">
        <f>H58*0</f>
        <v>0</v>
      </c>
      <c r="AO58" s="29">
        <f>H58*(1-0)</f>
        <v>0</v>
      </c>
      <c r="AP58" s="24" t="s">
        <v>11</v>
      </c>
      <c r="AU58" s="29">
        <f>AV58+AW58</f>
        <v>0</v>
      </c>
      <c r="AV58" s="29">
        <f>G58*AN58</f>
        <v>0</v>
      </c>
      <c r="AW58" s="29">
        <f>G58*AO58</f>
        <v>0</v>
      </c>
      <c r="AX58" s="30" t="s">
        <v>331</v>
      </c>
      <c r="AY58" s="30" t="s">
        <v>335</v>
      </c>
      <c r="AZ58" s="25" t="s">
        <v>337</v>
      </c>
      <c r="BB58" s="29">
        <f>AV58+AW58</f>
        <v>0</v>
      </c>
      <c r="BC58" s="29">
        <f>H58/(100-BD58)*100</f>
        <v>0</v>
      </c>
      <c r="BD58" s="29">
        <v>0</v>
      </c>
      <c r="BE58" s="29">
        <f>58</f>
        <v>58</v>
      </c>
      <c r="BG58" s="16">
        <f>G58*AN58</f>
        <v>0</v>
      </c>
      <c r="BH58" s="16">
        <f>G58*AO58</f>
        <v>0</v>
      </c>
      <c r="BI58" s="16">
        <f>G58*H58</f>
        <v>0</v>
      </c>
    </row>
    <row r="59" spans="1:46" ht="12.75">
      <c r="A59" s="5"/>
      <c r="B59" s="13" t="s">
        <v>108</v>
      </c>
      <c r="C59" s="147" t="s">
        <v>209</v>
      </c>
      <c r="D59" s="148"/>
      <c r="E59" s="148"/>
      <c r="F59" s="5" t="s">
        <v>6</v>
      </c>
      <c r="G59" s="5" t="s">
        <v>6</v>
      </c>
      <c r="H59" s="5" t="s">
        <v>6</v>
      </c>
      <c r="I59" s="32">
        <f>SUM(I60:I126)</f>
        <v>0</v>
      </c>
      <c r="J59" s="32">
        <f>SUM(J60:J126)</f>
        <v>0</v>
      </c>
      <c r="K59" s="32">
        <f>SUM(K60:K126)</f>
        <v>0</v>
      </c>
      <c r="AH59" s="25"/>
      <c r="AR59" s="32">
        <f>SUM(AI60:AI126)</f>
        <v>0</v>
      </c>
      <c r="AS59" s="32">
        <f>SUM(AJ60:AJ126)</f>
        <v>0</v>
      </c>
      <c r="AT59" s="32">
        <f>SUM(AK60:AK126)</f>
        <v>0</v>
      </c>
    </row>
    <row r="60" spans="1:61" ht="12.75">
      <c r="A60" s="4" t="s">
        <v>25</v>
      </c>
      <c r="B60" s="4" t="s">
        <v>109</v>
      </c>
      <c r="C60" s="140" t="s">
        <v>210</v>
      </c>
      <c r="D60" s="141"/>
      <c r="E60" s="141"/>
      <c r="F60" s="4" t="s">
        <v>306</v>
      </c>
      <c r="G60" s="68">
        <v>15</v>
      </c>
      <c r="H60" s="16">
        <v>0</v>
      </c>
      <c r="I60" s="16">
        <f>G60*AN60</f>
        <v>0</v>
      </c>
      <c r="J60" s="16">
        <f>G60*AO60</f>
        <v>0</v>
      </c>
      <c r="K60" s="16">
        <f>G60*H60</f>
        <v>0</v>
      </c>
      <c r="Y60" s="29">
        <f>IF(AP60="5",BI60,0)</f>
        <v>0</v>
      </c>
      <c r="AA60" s="29">
        <f>IF(AP60="1",BG60,0)</f>
        <v>0</v>
      </c>
      <c r="AB60" s="29">
        <f>IF(AP60="1",BH60,0)</f>
        <v>0</v>
      </c>
      <c r="AC60" s="29">
        <f>IF(AP60="7",BG60,0)</f>
        <v>0</v>
      </c>
      <c r="AD60" s="29">
        <f>IF(AP60="7",BH60,0)</f>
        <v>0</v>
      </c>
      <c r="AE60" s="29">
        <f>IF(AP60="2",BG60,0)</f>
        <v>0</v>
      </c>
      <c r="AF60" s="29">
        <f>IF(AP60="2",BH60,0)</f>
        <v>0</v>
      </c>
      <c r="AG60" s="29">
        <f>IF(AP60="0",BI60,0)</f>
        <v>0</v>
      </c>
      <c r="AH60" s="25"/>
      <c r="AI60" s="16">
        <f>IF(AM60=0,K60,0)</f>
        <v>0</v>
      </c>
      <c r="AJ60" s="16">
        <f>IF(AM60=15,K60,0)</f>
        <v>0</v>
      </c>
      <c r="AK60" s="16">
        <f>IF(AM60=21,K60,0)</f>
        <v>0</v>
      </c>
      <c r="AM60" s="29">
        <v>21</v>
      </c>
      <c r="AN60" s="29">
        <f>H60*0.220765550239234</f>
        <v>0</v>
      </c>
      <c r="AO60" s="29">
        <f>H60*(1-0.220765550239234)</f>
        <v>0</v>
      </c>
      <c r="AP60" s="24" t="s">
        <v>13</v>
      </c>
      <c r="AU60" s="29">
        <f>AV60+AW60</f>
        <v>0</v>
      </c>
      <c r="AV60" s="29">
        <f>G60*AN60</f>
        <v>0</v>
      </c>
      <c r="AW60" s="29">
        <f>G60*AO60</f>
        <v>0</v>
      </c>
      <c r="AX60" s="30" t="s">
        <v>332</v>
      </c>
      <c r="AY60" s="30" t="s">
        <v>335</v>
      </c>
      <c r="AZ60" s="25" t="s">
        <v>337</v>
      </c>
      <c r="BB60" s="29">
        <f>AV60+AW60</f>
        <v>0</v>
      </c>
      <c r="BC60" s="29">
        <f>H60/(100-BD60)*100</f>
        <v>0</v>
      </c>
      <c r="BD60" s="29">
        <v>0</v>
      </c>
      <c r="BE60" s="29">
        <f>60</f>
        <v>60</v>
      </c>
      <c r="BG60" s="16">
        <f>G60*AN60</f>
        <v>0</v>
      </c>
      <c r="BH60" s="16">
        <f>G60*AO60</f>
        <v>0</v>
      </c>
      <c r="BI60" s="16">
        <f>G60*H60</f>
        <v>0</v>
      </c>
    </row>
    <row r="61" spans="3:7" ht="12.75">
      <c r="C61" s="142" t="s">
        <v>211</v>
      </c>
      <c r="D61" s="143"/>
      <c r="E61" s="143"/>
      <c r="G61" s="69">
        <v>2</v>
      </c>
    </row>
    <row r="62" spans="3:7" ht="12.75">
      <c r="C62" s="142" t="s">
        <v>212</v>
      </c>
      <c r="D62" s="143"/>
      <c r="E62" s="143"/>
      <c r="G62" s="69">
        <v>2.5</v>
      </c>
    </row>
    <row r="63" spans="3:7" ht="12.75">
      <c r="C63" s="142" t="s">
        <v>213</v>
      </c>
      <c r="D63" s="143"/>
      <c r="E63" s="143"/>
      <c r="G63" s="69">
        <v>2</v>
      </c>
    </row>
    <row r="64" spans="3:7" ht="12.75">
      <c r="C64" s="142" t="s">
        <v>214</v>
      </c>
      <c r="D64" s="143"/>
      <c r="E64" s="143"/>
      <c r="G64" s="69">
        <v>8.5</v>
      </c>
    </row>
    <row r="65" spans="1:61" ht="12.75">
      <c r="A65" s="4" t="s">
        <v>26</v>
      </c>
      <c r="B65" s="4" t="s">
        <v>110</v>
      </c>
      <c r="C65" s="140" t="s">
        <v>215</v>
      </c>
      <c r="D65" s="141"/>
      <c r="E65" s="141"/>
      <c r="F65" s="4" t="s">
        <v>306</v>
      </c>
      <c r="G65" s="68">
        <v>5.5</v>
      </c>
      <c r="H65" s="16">
        <v>0</v>
      </c>
      <c r="I65" s="16">
        <f>G65*AN65</f>
        <v>0</v>
      </c>
      <c r="J65" s="16">
        <f>G65*AO65</f>
        <v>0</v>
      </c>
      <c r="K65" s="16">
        <f>G65*H65</f>
        <v>0</v>
      </c>
      <c r="Y65" s="29">
        <f>IF(AP65="5",BI65,0)</f>
        <v>0</v>
      </c>
      <c r="AA65" s="29">
        <f>IF(AP65="1",BG65,0)</f>
        <v>0</v>
      </c>
      <c r="AB65" s="29">
        <f>IF(AP65="1",BH65,0)</f>
        <v>0</v>
      </c>
      <c r="AC65" s="29">
        <f>IF(AP65="7",BG65,0)</f>
        <v>0</v>
      </c>
      <c r="AD65" s="29">
        <f>IF(AP65="7",BH65,0)</f>
        <v>0</v>
      </c>
      <c r="AE65" s="29">
        <f>IF(AP65="2",BG65,0)</f>
        <v>0</v>
      </c>
      <c r="AF65" s="29">
        <f>IF(AP65="2",BH65,0)</f>
        <v>0</v>
      </c>
      <c r="AG65" s="29">
        <f>IF(AP65="0",BI65,0)</f>
        <v>0</v>
      </c>
      <c r="AH65" s="25"/>
      <c r="AI65" s="16">
        <f>IF(AM65=0,K65,0)</f>
        <v>0</v>
      </c>
      <c r="AJ65" s="16">
        <f>IF(AM65=15,K65,0)</f>
        <v>0</v>
      </c>
      <c r="AK65" s="16">
        <f>IF(AM65=21,K65,0)</f>
        <v>0</v>
      </c>
      <c r="AM65" s="29">
        <v>21</v>
      </c>
      <c r="AN65" s="29">
        <f>H65*0.245842735386694</f>
        <v>0</v>
      </c>
      <c r="AO65" s="29">
        <f>H65*(1-0.245842735386694)</f>
        <v>0</v>
      </c>
      <c r="AP65" s="24" t="s">
        <v>13</v>
      </c>
      <c r="AU65" s="29">
        <f>AV65+AW65</f>
        <v>0</v>
      </c>
      <c r="AV65" s="29">
        <f>G65*AN65</f>
        <v>0</v>
      </c>
      <c r="AW65" s="29">
        <f>G65*AO65</f>
        <v>0</v>
      </c>
      <c r="AX65" s="30" t="s">
        <v>332</v>
      </c>
      <c r="AY65" s="30" t="s">
        <v>335</v>
      </c>
      <c r="AZ65" s="25" t="s">
        <v>337</v>
      </c>
      <c r="BB65" s="29">
        <f>AV65+AW65</f>
        <v>0</v>
      </c>
      <c r="BC65" s="29">
        <f>H65/(100-BD65)*100</f>
        <v>0</v>
      </c>
      <c r="BD65" s="29">
        <v>0</v>
      </c>
      <c r="BE65" s="29">
        <f>65</f>
        <v>65</v>
      </c>
      <c r="BG65" s="16">
        <f>G65*AN65</f>
        <v>0</v>
      </c>
      <c r="BH65" s="16">
        <f>G65*AO65</f>
        <v>0</v>
      </c>
      <c r="BI65" s="16">
        <f>G65*H65</f>
        <v>0</v>
      </c>
    </row>
    <row r="66" spans="3:7" ht="12.75">
      <c r="C66" s="142" t="s">
        <v>216</v>
      </c>
      <c r="D66" s="143"/>
      <c r="E66" s="143"/>
      <c r="G66" s="69">
        <v>5.5</v>
      </c>
    </row>
    <row r="67" spans="1:61" ht="12.75">
      <c r="A67" s="4" t="s">
        <v>27</v>
      </c>
      <c r="B67" s="4" t="s">
        <v>111</v>
      </c>
      <c r="C67" s="140" t="s">
        <v>217</v>
      </c>
      <c r="D67" s="141"/>
      <c r="E67" s="141"/>
      <c r="F67" s="4" t="s">
        <v>306</v>
      </c>
      <c r="G67" s="68">
        <v>18</v>
      </c>
      <c r="H67" s="16">
        <v>0</v>
      </c>
      <c r="I67" s="16">
        <f>G67*AN67</f>
        <v>0</v>
      </c>
      <c r="J67" s="16">
        <f>G67*AO67</f>
        <v>0</v>
      </c>
      <c r="K67" s="16">
        <f>G67*H67</f>
        <v>0</v>
      </c>
      <c r="Y67" s="29">
        <f>IF(AP67="5",BI67,0)</f>
        <v>0</v>
      </c>
      <c r="AA67" s="29">
        <f>IF(AP67="1",BG67,0)</f>
        <v>0</v>
      </c>
      <c r="AB67" s="29">
        <f>IF(AP67="1",BH67,0)</f>
        <v>0</v>
      </c>
      <c r="AC67" s="29">
        <f>IF(AP67="7",BG67,0)</f>
        <v>0</v>
      </c>
      <c r="AD67" s="29">
        <f>IF(AP67="7",BH67,0)</f>
        <v>0</v>
      </c>
      <c r="AE67" s="29">
        <f>IF(AP67="2",BG67,0)</f>
        <v>0</v>
      </c>
      <c r="AF67" s="29">
        <f>IF(AP67="2",BH67,0)</f>
        <v>0</v>
      </c>
      <c r="AG67" s="29">
        <f>IF(AP67="0",BI67,0)</f>
        <v>0</v>
      </c>
      <c r="AH67" s="25"/>
      <c r="AI67" s="16">
        <f>IF(AM67=0,K67,0)</f>
        <v>0</v>
      </c>
      <c r="AJ67" s="16">
        <f>IF(AM67=15,K67,0)</f>
        <v>0</v>
      </c>
      <c r="AK67" s="16">
        <f>IF(AM67=21,K67,0)</f>
        <v>0</v>
      </c>
      <c r="AM67" s="29">
        <v>21</v>
      </c>
      <c r="AN67" s="29">
        <f>H67*0.327784431137725</f>
        <v>0</v>
      </c>
      <c r="AO67" s="29">
        <f>H67*(1-0.327784431137725)</f>
        <v>0</v>
      </c>
      <c r="AP67" s="24" t="s">
        <v>13</v>
      </c>
      <c r="AU67" s="29">
        <f>AV67+AW67</f>
        <v>0</v>
      </c>
      <c r="AV67" s="29">
        <f>G67*AN67</f>
        <v>0</v>
      </c>
      <c r="AW67" s="29">
        <f>G67*AO67</f>
        <v>0</v>
      </c>
      <c r="AX67" s="30" t="s">
        <v>332</v>
      </c>
      <c r="AY67" s="30" t="s">
        <v>335</v>
      </c>
      <c r="AZ67" s="25" t="s">
        <v>337</v>
      </c>
      <c r="BB67" s="29">
        <f>AV67+AW67</f>
        <v>0</v>
      </c>
      <c r="BC67" s="29">
        <f>H67/(100-BD67)*100</f>
        <v>0</v>
      </c>
      <c r="BD67" s="29">
        <v>0</v>
      </c>
      <c r="BE67" s="29">
        <f>67</f>
        <v>67</v>
      </c>
      <c r="BG67" s="16">
        <f>G67*AN67</f>
        <v>0</v>
      </c>
      <c r="BH67" s="16">
        <f>G67*AO67</f>
        <v>0</v>
      </c>
      <c r="BI67" s="16">
        <f>G67*H67</f>
        <v>0</v>
      </c>
    </row>
    <row r="68" spans="3:5" ht="12.75">
      <c r="C68" s="151" t="s">
        <v>218</v>
      </c>
      <c r="D68" s="152"/>
      <c r="E68" s="152"/>
    </row>
    <row r="69" spans="3:7" ht="12.75">
      <c r="C69" s="142" t="s">
        <v>219</v>
      </c>
      <c r="D69" s="143"/>
      <c r="E69" s="143"/>
      <c r="G69" s="69">
        <v>2</v>
      </c>
    </row>
    <row r="70" spans="3:7" ht="12.75">
      <c r="C70" s="142" t="s">
        <v>212</v>
      </c>
      <c r="D70" s="143"/>
      <c r="E70" s="143"/>
      <c r="G70" s="69">
        <v>2.5</v>
      </c>
    </row>
    <row r="71" spans="3:7" ht="12.75">
      <c r="C71" s="142" t="s">
        <v>213</v>
      </c>
      <c r="D71" s="143"/>
      <c r="E71" s="143"/>
      <c r="G71" s="69">
        <v>2</v>
      </c>
    </row>
    <row r="72" spans="3:7" ht="12.75">
      <c r="C72" s="142" t="s">
        <v>220</v>
      </c>
      <c r="D72" s="143"/>
      <c r="E72" s="143"/>
      <c r="G72" s="69">
        <v>11.5</v>
      </c>
    </row>
    <row r="73" spans="1:61" ht="12.75">
      <c r="A73" s="4" t="s">
        <v>28</v>
      </c>
      <c r="B73" s="4" t="s">
        <v>112</v>
      </c>
      <c r="C73" s="140" t="s">
        <v>217</v>
      </c>
      <c r="D73" s="141"/>
      <c r="E73" s="141"/>
      <c r="F73" s="4" t="s">
        <v>306</v>
      </c>
      <c r="G73" s="68">
        <v>16.5</v>
      </c>
      <c r="H73" s="16">
        <v>0</v>
      </c>
      <c r="I73" s="16">
        <f>G73*AN73</f>
        <v>0</v>
      </c>
      <c r="J73" s="16">
        <f>G73*AO73</f>
        <v>0</v>
      </c>
      <c r="K73" s="16">
        <f>G73*H73</f>
        <v>0</v>
      </c>
      <c r="Y73" s="29">
        <f>IF(AP73="5",BI73,0)</f>
        <v>0</v>
      </c>
      <c r="AA73" s="29">
        <f>IF(AP73="1",BG73,0)</f>
        <v>0</v>
      </c>
      <c r="AB73" s="29">
        <f>IF(AP73="1",BH73,0)</f>
        <v>0</v>
      </c>
      <c r="AC73" s="29">
        <f>IF(AP73="7",BG73,0)</f>
        <v>0</v>
      </c>
      <c r="AD73" s="29">
        <f>IF(AP73="7",BH73,0)</f>
        <v>0</v>
      </c>
      <c r="AE73" s="29">
        <f>IF(AP73="2",BG73,0)</f>
        <v>0</v>
      </c>
      <c r="AF73" s="29">
        <f>IF(AP73="2",BH73,0)</f>
        <v>0</v>
      </c>
      <c r="AG73" s="29">
        <f>IF(AP73="0",BI73,0)</f>
        <v>0</v>
      </c>
      <c r="AH73" s="25"/>
      <c r="AI73" s="16">
        <f>IF(AM73=0,K73,0)</f>
        <v>0</v>
      </c>
      <c r="AJ73" s="16">
        <f>IF(AM73=15,K73,0)</f>
        <v>0</v>
      </c>
      <c r="AK73" s="16">
        <f>IF(AM73=21,K73,0)</f>
        <v>0</v>
      </c>
      <c r="AM73" s="29">
        <v>21</v>
      </c>
      <c r="AN73" s="29">
        <f>H73*0.381004184100418</f>
        <v>0</v>
      </c>
      <c r="AO73" s="29">
        <f>H73*(1-0.381004184100418)</f>
        <v>0</v>
      </c>
      <c r="AP73" s="24" t="s">
        <v>13</v>
      </c>
      <c r="AU73" s="29">
        <f>AV73+AW73</f>
        <v>0</v>
      </c>
      <c r="AV73" s="29">
        <f>G73*AN73</f>
        <v>0</v>
      </c>
      <c r="AW73" s="29">
        <f>G73*AO73</f>
        <v>0</v>
      </c>
      <c r="AX73" s="30" t="s">
        <v>332</v>
      </c>
      <c r="AY73" s="30" t="s">
        <v>335</v>
      </c>
      <c r="AZ73" s="25" t="s">
        <v>337</v>
      </c>
      <c r="BB73" s="29">
        <f>AV73+AW73</f>
        <v>0</v>
      </c>
      <c r="BC73" s="29">
        <f>H73/(100-BD73)*100</f>
        <v>0</v>
      </c>
      <c r="BD73" s="29">
        <v>0</v>
      </c>
      <c r="BE73" s="29">
        <f>73</f>
        <v>73</v>
      </c>
      <c r="BG73" s="16">
        <f>G73*AN73</f>
        <v>0</v>
      </c>
      <c r="BH73" s="16">
        <f>G73*AO73</f>
        <v>0</v>
      </c>
      <c r="BI73" s="16">
        <f>G73*H73</f>
        <v>0</v>
      </c>
    </row>
    <row r="74" spans="3:5" ht="12.75">
      <c r="C74" s="151" t="s">
        <v>221</v>
      </c>
      <c r="D74" s="152"/>
      <c r="E74" s="152"/>
    </row>
    <row r="75" spans="3:7" ht="12.75">
      <c r="C75" s="142" t="s">
        <v>216</v>
      </c>
      <c r="D75" s="143"/>
      <c r="E75" s="143"/>
      <c r="G75" s="69">
        <v>5.5</v>
      </c>
    </row>
    <row r="76" spans="3:7" ht="12.75">
      <c r="C76" s="142" t="s">
        <v>222</v>
      </c>
      <c r="D76" s="143"/>
      <c r="E76" s="143"/>
      <c r="G76" s="69">
        <v>11</v>
      </c>
    </row>
    <row r="77" spans="1:61" ht="12.75">
      <c r="A77" s="4" t="s">
        <v>29</v>
      </c>
      <c r="B77" s="4" t="s">
        <v>113</v>
      </c>
      <c r="C77" s="140" t="s">
        <v>223</v>
      </c>
      <c r="D77" s="141"/>
      <c r="E77" s="141"/>
      <c r="F77" s="4" t="s">
        <v>305</v>
      </c>
      <c r="G77" s="68">
        <v>6</v>
      </c>
      <c r="H77" s="16">
        <v>0</v>
      </c>
      <c r="I77" s="16">
        <f>G77*AN77</f>
        <v>0</v>
      </c>
      <c r="J77" s="16">
        <f>G77*AO77</f>
        <v>0</v>
      </c>
      <c r="K77" s="16">
        <f>G77*H77</f>
        <v>0</v>
      </c>
      <c r="Y77" s="29">
        <f>IF(AP77="5",BI77,0)</f>
        <v>0</v>
      </c>
      <c r="AA77" s="29">
        <f>IF(AP77="1",BG77,0)</f>
        <v>0</v>
      </c>
      <c r="AB77" s="29">
        <f>IF(AP77="1",BH77,0)</f>
        <v>0</v>
      </c>
      <c r="AC77" s="29">
        <f>IF(AP77="7",BG77,0)</f>
        <v>0</v>
      </c>
      <c r="AD77" s="29">
        <f>IF(AP77="7",BH77,0)</f>
        <v>0</v>
      </c>
      <c r="AE77" s="29">
        <f>IF(AP77="2",BG77,0)</f>
        <v>0</v>
      </c>
      <c r="AF77" s="29">
        <f>IF(AP77="2",BH77,0)</f>
        <v>0</v>
      </c>
      <c r="AG77" s="29">
        <f>IF(AP77="0",BI77,0)</f>
        <v>0</v>
      </c>
      <c r="AH77" s="25"/>
      <c r="AI77" s="16">
        <f>IF(AM77=0,K77,0)</f>
        <v>0</v>
      </c>
      <c r="AJ77" s="16">
        <f>IF(AM77=15,K77,0)</f>
        <v>0</v>
      </c>
      <c r="AK77" s="16">
        <f>IF(AM77=21,K77,0)</f>
        <v>0</v>
      </c>
      <c r="AM77" s="29">
        <v>21</v>
      </c>
      <c r="AN77" s="29">
        <f>H77*0</f>
        <v>0</v>
      </c>
      <c r="AO77" s="29">
        <f>H77*(1-0)</f>
        <v>0</v>
      </c>
      <c r="AP77" s="24" t="s">
        <v>13</v>
      </c>
      <c r="AU77" s="29">
        <f>AV77+AW77</f>
        <v>0</v>
      </c>
      <c r="AV77" s="29">
        <f>G77*AN77</f>
        <v>0</v>
      </c>
      <c r="AW77" s="29">
        <f>G77*AO77</f>
        <v>0</v>
      </c>
      <c r="AX77" s="30" t="s">
        <v>332</v>
      </c>
      <c r="AY77" s="30" t="s">
        <v>335</v>
      </c>
      <c r="AZ77" s="25" t="s">
        <v>337</v>
      </c>
      <c r="BB77" s="29">
        <f>AV77+AW77</f>
        <v>0</v>
      </c>
      <c r="BC77" s="29">
        <f>H77/(100-BD77)*100</f>
        <v>0</v>
      </c>
      <c r="BD77" s="29">
        <v>0</v>
      </c>
      <c r="BE77" s="29">
        <f>77</f>
        <v>77</v>
      </c>
      <c r="BG77" s="16">
        <f>G77*AN77</f>
        <v>0</v>
      </c>
      <c r="BH77" s="16">
        <f>G77*AO77</f>
        <v>0</v>
      </c>
      <c r="BI77" s="16">
        <f>G77*H77</f>
        <v>0</v>
      </c>
    </row>
    <row r="78" spans="3:7" ht="12.75">
      <c r="C78" s="142" t="s">
        <v>211</v>
      </c>
      <c r="D78" s="143"/>
      <c r="E78" s="143"/>
      <c r="G78" s="69">
        <v>2</v>
      </c>
    </row>
    <row r="79" spans="3:7" ht="12.75">
      <c r="C79" s="142" t="s">
        <v>224</v>
      </c>
      <c r="D79" s="143"/>
      <c r="E79" s="143"/>
      <c r="G79" s="69">
        <v>2</v>
      </c>
    </row>
    <row r="80" spans="3:7" ht="12.75">
      <c r="C80" s="142" t="s">
        <v>225</v>
      </c>
      <c r="D80" s="143"/>
      <c r="E80" s="143"/>
      <c r="G80" s="69">
        <v>2</v>
      </c>
    </row>
    <row r="81" spans="1:61" ht="12.75">
      <c r="A81" s="4" t="s">
        <v>30</v>
      </c>
      <c r="B81" s="4" t="s">
        <v>114</v>
      </c>
      <c r="C81" s="140" t="s">
        <v>226</v>
      </c>
      <c r="D81" s="141"/>
      <c r="E81" s="141"/>
      <c r="F81" s="4" t="s">
        <v>305</v>
      </c>
      <c r="G81" s="68">
        <v>1</v>
      </c>
      <c r="H81" s="16">
        <v>0</v>
      </c>
      <c r="I81" s="16">
        <f>G81*AN81</f>
        <v>0</v>
      </c>
      <c r="J81" s="16">
        <f>G81*AO81</f>
        <v>0</v>
      </c>
      <c r="K81" s="16">
        <f>G81*H81</f>
        <v>0</v>
      </c>
      <c r="Y81" s="29">
        <f>IF(AP81="5",BI81,0)</f>
        <v>0</v>
      </c>
      <c r="AA81" s="29">
        <f>IF(AP81="1",BG81,0)</f>
        <v>0</v>
      </c>
      <c r="AB81" s="29">
        <f>IF(AP81="1",BH81,0)</f>
        <v>0</v>
      </c>
      <c r="AC81" s="29">
        <f>IF(AP81="7",BG81,0)</f>
        <v>0</v>
      </c>
      <c r="AD81" s="29">
        <f>IF(AP81="7",BH81,0)</f>
        <v>0</v>
      </c>
      <c r="AE81" s="29">
        <f>IF(AP81="2",BG81,0)</f>
        <v>0</v>
      </c>
      <c r="AF81" s="29">
        <f>IF(AP81="2",BH81,0)</f>
        <v>0</v>
      </c>
      <c r="AG81" s="29">
        <f>IF(AP81="0",BI81,0)</f>
        <v>0</v>
      </c>
      <c r="AH81" s="25"/>
      <c r="AI81" s="16">
        <f>IF(AM81=0,K81,0)</f>
        <v>0</v>
      </c>
      <c r="AJ81" s="16">
        <f>IF(AM81=15,K81,0)</f>
        <v>0</v>
      </c>
      <c r="AK81" s="16">
        <f>IF(AM81=21,K81,0)</f>
        <v>0</v>
      </c>
      <c r="AM81" s="29">
        <v>21</v>
      </c>
      <c r="AN81" s="29">
        <f>H81*0.0583549783549784</f>
        <v>0</v>
      </c>
      <c r="AO81" s="29">
        <f>H81*(1-0.0583549783549784)</f>
        <v>0</v>
      </c>
      <c r="AP81" s="24" t="s">
        <v>13</v>
      </c>
      <c r="AU81" s="29">
        <f>AV81+AW81</f>
        <v>0</v>
      </c>
      <c r="AV81" s="29">
        <f>G81*AN81</f>
        <v>0</v>
      </c>
      <c r="AW81" s="29">
        <f>G81*AO81</f>
        <v>0</v>
      </c>
      <c r="AX81" s="30" t="s">
        <v>332</v>
      </c>
      <c r="AY81" s="30" t="s">
        <v>335</v>
      </c>
      <c r="AZ81" s="25" t="s">
        <v>337</v>
      </c>
      <c r="BB81" s="29">
        <f>AV81+AW81</f>
        <v>0</v>
      </c>
      <c r="BC81" s="29">
        <f>H81/(100-BD81)*100</f>
        <v>0</v>
      </c>
      <c r="BD81" s="29">
        <v>0</v>
      </c>
      <c r="BE81" s="29">
        <f>81</f>
        <v>81</v>
      </c>
      <c r="BG81" s="16">
        <f>G81*AN81</f>
        <v>0</v>
      </c>
      <c r="BH81" s="16">
        <f>G81*AO81</f>
        <v>0</v>
      </c>
      <c r="BI81" s="16">
        <f>G81*H81</f>
        <v>0</v>
      </c>
    </row>
    <row r="82" spans="3:7" ht="12.75">
      <c r="C82" s="142" t="s">
        <v>179</v>
      </c>
      <c r="D82" s="143"/>
      <c r="E82" s="143"/>
      <c r="G82" s="69">
        <v>1</v>
      </c>
    </row>
    <row r="83" spans="1:61" ht="12.75">
      <c r="A83" s="4" t="s">
        <v>31</v>
      </c>
      <c r="B83" s="4" t="s">
        <v>115</v>
      </c>
      <c r="C83" s="140" t="s">
        <v>227</v>
      </c>
      <c r="D83" s="141"/>
      <c r="E83" s="141"/>
      <c r="F83" s="4" t="s">
        <v>306</v>
      </c>
      <c r="G83" s="68">
        <v>44.5</v>
      </c>
      <c r="H83" s="16">
        <v>0</v>
      </c>
      <c r="I83" s="16">
        <f>G83*AN83</f>
        <v>0</v>
      </c>
      <c r="J83" s="16">
        <f>G83*AO83</f>
        <v>0</v>
      </c>
      <c r="K83" s="16">
        <f>G83*H83</f>
        <v>0</v>
      </c>
      <c r="Y83" s="29">
        <f>IF(AP83="5",BI83,0)</f>
        <v>0</v>
      </c>
      <c r="AA83" s="29">
        <f>IF(AP83="1",BG83,0)</f>
        <v>0</v>
      </c>
      <c r="AB83" s="29">
        <f>IF(AP83="1",BH83,0)</f>
        <v>0</v>
      </c>
      <c r="AC83" s="29">
        <f>IF(AP83="7",BG83,0)</f>
        <v>0</v>
      </c>
      <c r="AD83" s="29">
        <f>IF(AP83="7",BH83,0)</f>
        <v>0</v>
      </c>
      <c r="AE83" s="29">
        <f>IF(AP83="2",BG83,0)</f>
        <v>0</v>
      </c>
      <c r="AF83" s="29">
        <f>IF(AP83="2",BH83,0)</f>
        <v>0</v>
      </c>
      <c r="AG83" s="29">
        <f>IF(AP83="0",BI83,0)</f>
        <v>0</v>
      </c>
      <c r="AH83" s="25"/>
      <c r="AI83" s="16">
        <f>IF(AM83=0,K83,0)</f>
        <v>0</v>
      </c>
      <c r="AJ83" s="16">
        <f>IF(AM83=15,K83,0)</f>
        <v>0</v>
      </c>
      <c r="AK83" s="16">
        <f>IF(AM83=21,K83,0)</f>
        <v>0</v>
      </c>
      <c r="AM83" s="29">
        <v>21</v>
      </c>
      <c r="AN83" s="29">
        <f>H83*0.18175355450237</f>
        <v>0</v>
      </c>
      <c r="AO83" s="29">
        <f>H83*(1-0.18175355450237)</f>
        <v>0</v>
      </c>
      <c r="AP83" s="24" t="s">
        <v>13</v>
      </c>
      <c r="AU83" s="29">
        <f>AV83+AW83</f>
        <v>0</v>
      </c>
      <c r="AV83" s="29">
        <f>G83*AN83</f>
        <v>0</v>
      </c>
      <c r="AW83" s="29">
        <f>G83*AO83</f>
        <v>0</v>
      </c>
      <c r="AX83" s="30" t="s">
        <v>332</v>
      </c>
      <c r="AY83" s="30" t="s">
        <v>335</v>
      </c>
      <c r="AZ83" s="25" t="s">
        <v>337</v>
      </c>
      <c r="BB83" s="29">
        <f>AV83+AW83</f>
        <v>0</v>
      </c>
      <c r="BC83" s="29">
        <f>H83/(100-BD83)*100</f>
        <v>0</v>
      </c>
      <c r="BD83" s="29">
        <v>0</v>
      </c>
      <c r="BE83" s="29">
        <f>83</f>
        <v>83</v>
      </c>
      <c r="BG83" s="16">
        <f>G83*AN83</f>
        <v>0</v>
      </c>
      <c r="BH83" s="16">
        <f>G83*AO83</f>
        <v>0</v>
      </c>
      <c r="BI83" s="16">
        <f>G83*H83</f>
        <v>0</v>
      </c>
    </row>
    <row r="84" spans="3:7" ht="12.75">
      <c r="C84" s="142" t="s">
        <v>228</v>
      </c>
      <c r="D84" s="143"/>
      <c r="E84" s="143"/>
      <c r="G84" s="69">
        <v>7.5</v>
      </c>
    </row>
    <row r="85" spans="3:7" ht="12.75">
      <c r="C85" s="142" t="s">
        <v>212</v>
      </c>
      <c r="D85" s="143"/>
      <c r="E85" s="143"/>
      <c r="G85" s="69">
        <v>2.5</v>
      </c>
    </row>
    <row r="86" spans="3:7" ht="12.75">
      <c r="C86" s="142" t="s">
        <v>213</v>
      </c>
      <c r="D86" s="143"/>
      <c r="E86" s="143"/>
      <c r="G86" s="69">
        <v>2</v>
      </c>
    </row>
    <row r="87" spans="3:7" ht="12.75">
      <c r="C87" s="142" t="s">
        <v>229</v>
      </c>
      <c r="D87" s="143"/>
      <c r="E87" s="143"/>
      <c r="G87" s="69">
        <v>32.5</v>
      </c>
    </row>
    <row r="88" spans="1:61" ht="12.75">
      <c r="A88" s="4" t="s">
        <v>32</v>
      </c>
      <c r="B88" s="4" t="s">
        <v>116</v>
      </c>
      <c r="C88" s="140" t="s">
        <v>230</v>
      </c>
      <c r="D88" s="141"/>
      <c r="E88" s="141"/>
      <c r="F88" s="4" t="s">
        <v>306</v>
      </c>
      <c r="G88" s="68">
        <v>44.5</v>
      </c>
      <c r="H88" s="16">
        <v>0</v>
      </c>
      <c r="I88" s="16">
        <f>G88*AN88</f>
        <v>0</v>
      </c>
      <c r="J88" s="16">
        <f>G88*AO88</f>
        <v>0</v>
      </c>
      <c r="K88" s="16">
        <f>G88*H88</f>
        <v>0</v>
      </c>
      <c r="Y88" s="29">
        <f>IF(AP88="5",BI88,0)</f>
        <v>0</v>
      </c>
      <c r="AA88" s="29">
        <f>IF(AP88="1",BG88,0)</f>
        <v>0</v>
      </c>
      <c r="AB88" s="29">
        <f>IF(AP88="1",BH88,0)</f>
        <v>0</v>
      </c>
      <c r="AC88" s="29">
        <f>IF(AP88="7",BG88,0)</f>
        <v>0</v>
      </c>
      <c r="AD88" s="29">
        <f>IF(AP88="7",BH88,0)</f>
        <v>0</v>
      </c>
      <c r="AE88" s="29">
        <f>IF(AP88="2",BG88,0)</f>
        <v>0</v>
      </c>
      <c r="AF88" s="29">
        <f>IF(AP88="2",BH88,0)</f>
        <v>0</v>
      </c>
      <c r="AG88" s="29">
        <f>IF(AP88="0",BI88,0)</f>
        <v>0</v>
      </c>
      <c r="AH88" s="25"/>
      <c r="AI88" s="16">
        <f>IF(AM88=0,K88,0)</f>
        <v>0</v>
      </c>
      <c r="AJ88" s="16">
        <f>IF(AM88=15,K88,0)</f>
        <v>0</v>
      </c>
      <c r="AK88" s="16">
        <f>IF(AM88=21,K88,0)</f>
        <v>0</v>
      </c>
      <c r="AM88" s="29">
        <v>21</v>
      </c>
      <c r="AN88" s="29">
        <f>H88*0.05</f>
        <v>0</v>
      </c>
      <c r="AO88" s="29">
        <f>H88*(1-0.05)</f>
        <v>0</v>
      </c>
      <c r="AP88" s="24" t="s">
        <v>13</v>
      </c>
      <c r="AU88" s="29">
        <f>AV88+AW88</f>
        <v>0</v>
      </c>
      <c r="AV88" s="29">
        <f>G88*AN88</f>
        <v>0</v>
      </c>
      <c r="AW88" s="29">
        <f>G88*AO88</f>
        <v>0</v>
      </c>
      <c r="AX88" s="30" t="s">
        <v>332</v>
      </c>
      <c r="AY88" s="30" t="s">
        <v>335</v>
      </c>
      <c r="AZ88" s="25" t="s">
        <v>337</v>
      </c>
      <c r="BB88" s="29">
        <f>AV88+AW88</f>
        <v>0</v>
      </c>
      <c r="BC88" s="29">
        <f>H88/(100-BD88)*100</f>
        <v>0</v>
      </c>
      <c r="BD88" s="29">
        <v>0</v>
      </c>
      <c r="BE88" s="29">
        <f>88</f>
        <v>88</v>
      </c>
      <c r="BG88" s="16">
        <f>G88*AN88</f>
        <v>0</v>
      </c>
      <c r="BH88" s="16">
        <f>G88*AO88</f>
        <v>0</v>
      </c>
      <c r="BI88" s="16">
        <f>G88*H88</f>
        <v>0</v>
      </c>
    </row>
    <row r="89" spans="3:7" ht="12.75">
      <c r="C89" s="142" t="s">
        <v>228</v>
      </c>
      <c r="D89" s="143"/>
      <c r="E89" s="143"/>
      <c r="G89" s="69">
        <v>7.5</v>
      </c>
    </row>
    <row r="90" spans="3:7" ht="12.75">
      <c r="C90" s="142" t="s">
        <v>212</v>
      </c>
      <c r="D90" s="143"/>
      <c r="E90" s="143"/>
      <c r="G90" s="69">
        <v>2.5</v>
      </c>
    </row>
    <row r="91" spans="3:7" ht="12.75">
      <c r="C91" s="142" t="s">
        <v>213</v>
      </c>
      <c r="D91" s="143"/>
      <c r="E91" s="143"/>
      <c r="G91" s="69">
        <v>2</v>
      </c>
    </row>
    <row r="92" spans="3:7" ht="12.75">
      <c r="C92" s="142" t="s">
        <v>229</v>
      </c>
      <c r="D92" s="143"/>
      <c r="E92" s="143"/>
      <c r="G92" s="69">
        <v>32.5</v>
      </c>
    </row>
    <row r="93" spans="1:61" ht="12.75">
      <c r="A93" s="6" t="s">
        <v>33</v>
      </c>
      <c r="B93" s="6" t="s">
        <v>117</v>
      </c>
      <c r="C93" s="149" t="s">
        <v>231</v>
      </c>
      <c r="D93" s="150"/>
      <c r="E93" s="150"/>
      <c r="F93" s="6" t="s">
        <v>305</v>
      </c>
      <c r="G93" s="70">
        <v>1</v>
      </c>
      <c r="H93" s="17">
        <v>0</v>
      </c>
      <c r="I93" s="17">
        <f>G93*AN93</f>
        <v>0</v>
      </c>
      <c r="J93" s="17">
        <f>G93*AO93</f>
        <v>0</v>
      </c>
      <c r="K93" s="17">
        <f>G93*H93</f>
        <v>0</v>
      </c>
      <c r="Y93" s="29">
        <f>IF(AP93="5",BI93,0)</f>
        <v>0</v>
      </c>
      <c r="AA93" s="29">
        <f>IF(AP93="1",BG93,0)</f>
        <v>0</v>
      </c>
      <c r="AB93" s="29">
        <f>IF(AP93="1",BH93,0)</f>
        <v>0</v>
      </c>
      <c r="AC93" s="29">
        <f>IF(AP93="7",BG93,0)</f>
        <v>0</v>
      </c>
      <c r="AD93" s="29">
        <f>IF(AP93="7",BH93,0)</f>
        <v>0</v>
      </c>
      <c r="AE93" s="29">
        <f>IF(AP93="2",BG93,0)</f>
        <v>0</v>
      </c>
      <c r="AF93" s="29">
        <f>IF(AP93="2",BH93,0)</f>
        <v>0</v>
      </c>
      <c r="AG93" s="29">
        <f>IF(AP93="0",BI93,0)</f>
        <v>0</v>
      </c>
      <c r="AH93" s="25"/>
      <c r="AI93" s="17">
        <f>IF(AM93=0,K93,0)</f>
        <v>0</v>
      </c>
      <c r="AJ93" s="17">
        <f>IF(AM93=15,K93,0)</f>
        <v>0</v>
      </c>
      <c r="AK93" s="17">
        <f>IF(AM93=21,K93,0)</f>
        <v>0</v>
      </c>
      <c r="AM93" s="29">
        <v>21</v>
      </c>
      <c r="AN93" s="29">
        <f>H93*1</f>
        <v>0</v>
      </c>
      <c r="AO93" s="29">
        <f>H93*(1-1)</f>
        <v>0</v>
      </c>
      <c r="AP93" s="26" t="s">
        <v>13</v>
      </c>
      <c r="AU93" s="29">
        <f>AV93+AW93</f>
        <v>0</v>
      </c>
      <c r="AV93" s="29">
        <f>G93*AN93</f>
        <v>0</v>
      </c>
      <c r="AW93" s="29">
        <f>G93*AO93</f>
        <v>0</v>
      </c>
      <c r="AX93" s="30" t="s">
        <v>332</v>
      </c>
      <c r="AY93" s="30" t="s">
        <v>335</v>
      </c>
      <c r="AZ93" s="25" t="s">
        <v>337</v>
      </c>
      <c r="BB93" s="29">
        <f>AV93+AW93</f>
        <v>0</v>
      </c>
      <c r="BC93" s="29">
        <f>H93/(100-BD93)*100</f>
        <v>0</v>
      </c>
      <c r="BD93" s="29">
        <v>0</v>
      </c>
      <c r="BE93" s="29">
        <f>93</f>
        <v>93</v>
      </c>
      <c r="BG93" s="17">
        <f>G93*AN93</f>
        <v>0</v>
      </c>
      <c r="BH93" s="17">
        <f>G93*AO93</f>
        <v>0</v>
      </c>
      <c r="BI93" s="17">
        <f>G93*H93</f>
        <v>0</v>
      </c>
    </row>
    <row r="94" spans="3:7" ht="12.75">
      <c r="C94" s="142" t="s">
        <v>232</v>
      </c>
      <c r="D94" s="143"/>
      <c r="E94" s="143"/>
      <c r="G94" s="69">
        <v>1</v>
      </c>
    </row>
    <row r="95" spans="1:61" ht="12.75">
      <c r="A95" s="4" t="s">
        <v>34</v>
      </c>
      <c r="B95" s="4" t="s">
        <v>118</v>
      </c>
      <c r="C95" s="140" t="s">
        <v>233</v>
      </c>
      <c r="D95" s="141"/>
      <c r="E95" s="141"/>
      <c r="F95" s="4" t="s">
        <v>305</v>
      </c>
      <c r="G95" s="68">
        <v>2</v>
      </c>
      <c r="H95" s="16">
        <v>0</v>
      </c>
      <c r="I95" s="16">
        <f>G95*AN95</f>
        <v>0</v>
      </c>
      <c r="J95" s="16">
        <f>G95*AO95</f>
        <v>0</v>
      </c>
      <c r="K95" s="16">
        <f>G95*H95</f>
        <v>0</v>
      </c>
      <c r="Y95" s="29">
        <f>IF(AP95="5",BI95,0)</f>
        <v>0</v>
      </c>
      <c r="AA95" s="29">
        <f>IF(AP95="1",BG95,0)</f>
        <v>0</v>
      </c>
      <c r="AB95" s="29">
        <f>IF(AP95="1",BH95,0)</f>
        <v>0</v>
      </c>
      <c r="AC95" s="29">
        <f>IF(AP95="7",BG95,0)</f>
        <v>0</v>
      </c>
      <c r="AD95" s="29">
        <f>IF(AP95="7",BH95,0)</f>
        <v>0</v>
      </c>
      <c r="AE95" s="29">
        <f>IF(AP95="2",BG95,0)</f>
        <v>0</v>
      </c>
      <c r="AF95" s="29">
        <f>IF(AP95="2",BH95,0)</f>
        <v>0</v>
      </c>
      <c r="AG95" s="29">
        <f>IF(AP95="0",BI95,0)</f>
        <v>0</v>
      </c>
      <c r="AH95" s="25"/>
      <c r="AI95" s="16">
        <f>IF(AM95=0,K95,0)</f>
        <v>0</v>
      </c>
      <c r="AJ95" s="16">
        <f>IF(AM95=15,K95,0)</f>
        <v>0</v>
      </c>
      <c r="AK95" s="16">
        <f>IF(AM95=21,K95,0)</f>
        <v>0</v>
      </c>
      <c r="AM95" s="29">
        <v>21</v>
      </c>
      <c r="AN95" s="29">
        <f>H95*0.0409030222114334</f>
        <v>0</v>
      </c>
      <c r="AO95" s="29">
        <f>H95*(1-0.0409030222114334)</f>
        <v>0</v>
      </c>
      <c r="AP95" s="24" t="s">
        <v>13</v>
      </c>
      <c r="AU95" s="29">
        <f>AV95+AW95</f>
        <v>0</v>
      </c>
      <c r="AV95" s="29">
        <f>G95*AN95</f>
        <v>0</v>
      </c>
      <c r="AW95" s="29">
        <f>G95*AO95</f>
        <v>0</v>
      </c>
      <c r="AX95" s="30" t="s">
        <v>332</v>
      </c>
      <c r="AY95" s="30" t="s">
        <v>335</v>
      </c>
      <c r="AZ95" s="25" t="s">
        <v>337</v>
      </c>
      <c r="BB95" s="29">
        <f>AV95+AW95</f>
        <v>0</v>
      </c>
      <c r="BC95" s="29">
        <f>H95/(100-BD95)*100</f>
        <v>0</v>
      </c>
      <c r="BD95" s="29">
        <v>0</v>
      </c>
      <c r="BE95" s="29">
        <f>95</f>
        <v>95</v>
      </c>
      <c r="BG95" s="16">
        <f>G95*AN95</f>
        <v>0</v>
      </c>
      <c r="BH95" s="16">
        <f>G95*AO95</f>
        <v>0</v>
      </c>
      <c r="BI95" s="16">
        <f>G95*H95</f>
        <v>0</v>
      </c>
    </row>
    <row r="96" spans="3:7" ht="12.75">
      <c r="C96" s="142" t="s">
        <v>180</v>
      </c>
      <c r="D96" s="143"/>
      <c r="E96" s="143"/>
      <c r="G96" s="69">
        <v>1</v>
      </c>
    </row>
    <row r="97" spans="3:7" ht="12.75">
      <c r="C97" s="142" t="s">
        <v>181</v>
      </c>
      <c r="D97" s="143"/>
      <c r="E97" s="143"/>
      <c r="G97" s="69">
        <v>1</v>
      </c>
    </row>
    <row r="98" spans="1:61" ht="12.75">
      <c r="A98" s="6" t="s">
        <v>35</v>
      </c>
      <c r="B98" s="6" t="s">
        <v>119</v>
      </c>
      <c r="C98" s="149" t="s">
        <v>234</v>
      </c>
      <c r="D98" s="150"/>
      <c r="E98" s="150"/>
      <c r="F98" s="6" t="s">
        <v>305</v>
      </c>
      <c r="G98" s="70">
        <v>3</v>
      </c>
      <c r="H98" s="17">
        <v>0</v>
      </c>
      <c r="I98" s="17">
        <f>G98*AN98</f>
        <v>0</v>
      </c>
      <c r="J98" s="17">
        <f>G98*AO98</f>
        <v>0</v>
      </c>
      <c r="K98" s="17">
        <f>G98*H98</f>
        <v>0</v>
      </c>
      <c r="Y98" s="29">
        <f>IF(AP98="5",BI98,0)</f>
        <v>0</v>
      </c>
      <c r="AA98" s="29">
        <f>IF(AP98="1",BG98,0)</f>
        <v>0</v>
      </c>
      <c r="AB98" s="29">
        <f>IF(AP98="1",BH98,0)</f>
        <v>0</v>
      </c>
      <c r="AC98" s="29">
        <f>IF(AP98="7",BG98,0)</f>
        <v>0</v>
      </c>
      <c r="AD98" s="29">
        <f>IF(AP98="7",BH98,0)</f>
        <v>0</v>
      </c>
      <c r="AE98" s="29">
        <f>IF(AP98="2",BG98,0)</f>
        <v>0</v>
      </c>
      <c r="AF98" s="29">
        <f>IF(AP98="2",BH98,0)</f>
        <v>0</v>
      </c>
      <c r="AG98" s="29">
        <f>IF(AP98="0",BI98,0)</f>
        <v>0</v>
      </c>
      <c r="AH98" s="25"/>
      <c r="AI98" s="17">
        <f>IF(AM98=0,K98,0)</f>
        <v>0</v>
      </c>
      <c r="AJ98" s="17">
        <f>IF(AM98=15,K98,0)</f>
        <v>0</v>
      </c>
      <c r="AK98" s="17">
        <f>IF(AM98=21,K98,0)</f>
        <v>0</v>
      </c>
      <c r="AM98" s="29">
        <v>21</v>
      </c>
      <c r="AN98" s="29">
        <f>H98*1</f>
        <v>0</v>
      </c>
      <c r="AO98" s="29">
        <f>H98*(1-1)</f>
        <v>0</v>
      </c>
      <c r="AP98" s="26" t="s">
        <v>13</v>
      </c>
      <c r="AU98" s="29">
        <f>AV98+AW98</f>
        <v>0</v>
      </c>
      <c r="AV98" s="29">
        <f>G98*AN98</f>
        <v>0</v>
      </c>
      <c r="AW98" s="29">
        <f>G98*AO98</f>
        <v>0</v>
      </c>
      <c r="AX98" s="30" t="s">
        <v>332</v>
      </c>
      <c r="AY98" s="30" t="s">
        <v>335</v>
      </c>
      <c r="AZ98" s="25" t="s">
        <v>337</v>
      </c>
      <c r="BB98" s="29">
        <f>AV98+AW98</f>
        <v>0</v>
      </c>
      <c r="BC98" s="29">
        <f>H98/(100-BD98)*100</f>
        <v>0</v>
      </c>
      <c r="BD98" s="29">
        <v>0</v>
      </c>
      <c r="BE98" s="29">
        <f>98</f>
        <v>98</v>
      </c>
      <c r="BG98" s="17">
        <f>G98*AN98</f>
        <v>0</v>
      </c>
      <c r="BH98" s="17">
        <f>G98*AO98</f>
        <v>0</v>
      </c>
      <c r="BI98" s="17">
        <f>G98*H98</f>
        <v>0</v>
      </c>
    </row>
    <row r="99" spans="3:7" ht="12.75">
      <c r="C99" s="142" t="s">
        <v>232</v>
      </c>
      <c r="D99" s="143"/>
      <c r="E99" s="143"/>
      <c r="G99" s="69">
        <v>1</v>
      </c>
    </row>
    <row r="100" spans="3:7" ht="12.75">
      <c r="C100" s="142" t="s">
        <v>235</v>
      </c>
      <c r="D100" s="143"/>
      <c r="E100" s="143"/>
      <c r="G100" s="69">
        <v>1</v>
      </c>
    </row>
    <row r="101" spans="3:7" ht="12.75">
      <c r="C101" s="142" t="s">
        <v>181</v>
      </c>
      <c r="D101" s="143"/>
      <c r="E101" s="143"/>
      <c r="G101" s="69">
        <v>1</v>
      </c>
    </row>
    <row r="102" spans="1:61" ht="12.75">
      <c r="A102" s="4" t="s">
        <v>36</v>
      </c>
      <c r="B102" s="4" t="s">
        <v>120</v>
      </c>
      <c r="C102" s="140" t="s">
        <v>236</v>
      </c>
      <c r="D102" s="141"/>
      <c r="E102" s="141"/>
      <c r="F102" s="4" t="s">
        <v>306</v>
      </c>
      <c r="G102" s="68">
        <v>3</v>
      </c>
      <c r="H102" s="16">
        <v>0</v>
      </c>
      <c r="I102" s="16">
        <f>G102*AN102</f>
        <v>0</v>
      </c>
      <c r="J102" s="16">
        <f>G102*AO102</f>
        <v>0</v>
      </c>
      <c r="K102" s="16">
        <f>G102*H102</f>
        <v>0</v>
      </c>
      <c r="Y102" s="29">
        <f>IF(AP102="5",BI102,0)</f>
        <v>0</v>
      </c>
      <c r="AA102" s="29">
        <f>IF(AP102="1",BG102,0)</f>
        <v>0</v>
      </c>
      <c r="AB102" s="29">
        <f>IF(AP102="1",BH102,0)</f>
        <v>0</v>
      </c>
      <c r="AC102" s="29">
        <f>IF(AP102="7",BG102,0)</f>
        <v>0</v>
      </c>
      <c r="AD102" s="29">
        <f>IF(AP102="7",BH102,0)</f>
        <v>0</v>
      </c>
      <c r="AE102" s="29">
        <f>IF(AP102="2",BG102,0)</f>
        <v>0</v>
      </c>
      <c r="AF102" s="29">
        <f>IF(AP102="2",BH102,0)</f>
        <v>0</v>
      </c>
      <c r="AG102" s="29">
        <f>IF(AP102="0",BI102,0)</f>
        <v>0</v>
      </c>
      <c r="AH102" s="25"/>
      <c r="AI102" s="16">
        <f>IF(AM102=0,K102,0)</f>
        <v>0</v>
      </c>
      <c r="AJ102" s="16">
        <f>IF(AM102=15,K102,0)</f>
        <v>0</v>
      </c>
      <c r="AK102" s="16">
        <f>IF(AM102=21,K102,0)</f>
        <v>0</v>
      </c>
      <c r="AM102" s="29">
        <v>21</v>
      </c>
      <c r="AN102" s="29">
        <f>H102*0.455435816164818</f>
        <v>0</v>
      </c>
      <c r="AO102" s="29">
        <f>H102*(1-0.455435816164818)</f>
        <v>0</v>
      </c>
      <c r="AP102" s="24" t="s">
        <v>13</v>
      </c>
      <c r="AU102" s="29">
        <f>AV102+AW102</f>
        <v>0</v>
      </c>
      <c r="AV102" s="29">
        <f>G102*AN102</f>
        <v>0</v>
      </c>
      <c r="AW102" s="29">
        <f>G102*AO102</f>
        <v>0</v>
      </c>
      <c r="AX102" s="30" t="s">
        <v>332</v>
      </c>
      <c r="AY102" s="30" t="s">
        <v>335</v>
      </c>
      <c r="AZ102" s="25" t="s">
        <v>337</v>
      </c>
      <c r="BB102" s="29">
        <f>AV102+AW102</f>
        <v>0</v>
      </c>
      <c r="BC102" s="29">
        <f>H102/(100-BD102)*100</f>
        <v>0</v>
      </c>
      <c r="BD102" s="29">
        <v>0</v>
      </c>
      <c r="BE102" s="29">
        <f>102</f>
        <v>102</v>
      </c>
      <c r="BG102" s="16">
        <f>G102*AN102</f>
        <v>0</v>
      </c>
      <c r="BH102" s="16">
        <f>G102*AO102</f>
        <v>0</v>
      </c>
      <c r="BI102" s="16">
        <f>G102*H102</f>
        <v>0</v>
      </c>
    </row>
    <row r="103" spans="3:7" ht="12.75">
      <c r="C103" s="142" t="s">
        <v>237</v>
      </c>
      <c r="D103" s="143"/>
      <c r="E103" s="143"/>
      <c r="G103" s="69">
        <v>3</v>
      </c>
    </row>
    <row r="104" spans="1:61" ht="12.75">
      <c r="A104" s="4" t="s">
        <v>37</v>
      </c>
      <c r="B104" s="4" t="s">
        <v>121</v>
      </c>
      <c r="C104" s="140" t="s">
        <v>238</v>
      </c>
      <c r="D104" s="141"/>
      <c r="E104" s="141"/>
      <c r="F104" s="4" t="s">
        <v>306</v>
      </c>
      <c r="G104" s="68">
        <v>11</v>
      </c>
      <c r="H104" s="16">
        <v>0</v>
      </c>
      <c r="I104" s="16">
        <f>G104*AN104</f>
        <v>0</v>
      </c>
      <c r="J104" s="16">
        <f>G104*AO104</f>
        <v>0</v>
      </c>
      <c r="K104" s="16">
        <f>G104*H104</f>
        <v>0</v>
      </c>
      <c r="Y104" s="29">
        <f>IF(AP104="5",BI104,0)</f>
        <v>0</v>
      </c>
      <c r="AA104" s="29">
        <f>IF(AP104="1",BG104,0)</f>
        <v>0</v>
      </c>
      <c r="AB104" s="29">
        <f>IF(AP104="1",BH104,0)</f>
        <v>0</v>
      </c>
      <c r="AC104" s="29">
        <f>IF(AP104="7",BG104,0)</f>
        <v>0</v>
      </c>
      <c r="AD104" s="29">
        <f>IF(AP104="7",BH104,0)</f>
        <v>0</v>
      </c>
      <c r="AE104" s="29">
        <f>IF(AP104="2",BG104,0)</f>
        <v>0</v>
      </c>
      <c r="AF104" s="29">
        <f>IF(AP104="2",BH104,0)</f>
        <v>0</v>
      </c>
      <c r="AG104" s="29">
        <f>IF(AP104="0",BI104,0)</f>
        <v>0</v>
      </c>
      <c r="AH104" s="25"/>
      <c r="AI104" s="16">
        <f>IF(AM104=0,K104,0)</f>
        <v>0</v>
      </c>
      <c r="AJ104" s="16">
        <f>IF(AM104=15,K104,0)</f>
        <v>0</v>
      </c>
      <c r="AK104" s="16">
        <f>IF(AM104=21,K104,0)</f>
        <v>0</v>
      </c>
      <c r="AM104" s="29">
        <v>21</v>
      </c>
      <c r="AN104" s="29">
        <f>H104*0.578559322033898</f>
        <v>0</v>
      </c>
      <c r="AO104" s="29">
        <f>H104*(1-0.578559322033898)</f>
        <v>0</v>
      </c>
      <c r="AP104" s="24" t="s">
        <v>13</v>
      </c>
      <c r="AU104" s="29">
        <f>AV104+AW104</f>
        <v>0</v>
      </c>
      <c r="AV104" s="29">
        <f>G104*AN104</f>
        <v>0</v>
      </c>
      <c r="AW104" s="29">
        <f>G104*AO104</f>
        <v>0</v>
      </c>
      <c r="AX104" s="30" t="s">
        <v>332</v>
      </c>
      <c r="AY104" s="30" t="s">
        <v>335</v>
      </c>
      <c r="AZ104" s="25" t="s">
        <v>337</v>
      </c>
      <c r="BB104" s="29">
        <f>AV104+AW104</f>
        <v>0</v>
      </c>
      <c r="BC104" s="29">
        <f>H104/(100-BD104)*100</f>
        <v>0</v>
      </c>
      <c r="BD104" s="29">
        <v>0</v>
      </c>
      <c r="BE104" s="29">
        <f>104</f>
        <v>104</v>
      </c>
      <c r="BG104" s="16">
        <f>G104*AN104</f>
        <v>0</v>
      </c>
      <c r="BH104" s="16">
        <f>G104*AO104</f>
        <v>0</v>
      </c>
      <c r="BI104" s="16">
        <f>G104*H104</f>
        <v>0</v>
      </c>
    </row>
    <row r="105" spans="3:7" ht="12.75">
      <c r="C105" s="142" t="s">
        <v>222</v>
      </c>
      <c r="D105" s="143"/>
      <c r="E105" s="143"/>
      <c r="G105" s="69">
        <v>11</v>
      </c>
    </row>
    <row r="106" spans="1:61" ht="12.75">
      <c r="A106" s="4" t="s">
        <v>38</v>
      </c>
      <c r="B106" s="4" t="s">
        <v>122</v>
      </c>
      <c r="C106" s="140" t="s">
        <v>239</v>
      </c>
      <c r="D106" s="141"/>
      <c r="E106" s="141"/>
      <c r="F106" s="4" t="s">
        <v>306</v>
      </c>
      <c r="G106" s="68">
        <v>6</v>
      </c>
      <c r="H106" s="16">
        <v>0</v>
      </c>
      <c r="I106" s="16">
        <f>G106*AN106</f>
        <v>0</v>
      </c>
      <c r="J106" s="16">
        <f>G106*AO106</f>
        <v>0</v>
      </c>
      <c r="K106" s="16">
        <f>G106*H106</f>
        <v>0</v>
      </c>
      <c r="Y106" s="29">
        <f>IF(AP106="5",BI106,0)</f>
        <v>0</v>
      </c>
      <c r="AA106" s="29">
        <f>IF(AP106="1",BG106,0)</f>
        <v>0</v>
      </c>
      <c r="AB106" s="29">
        <f>IF(AP106="1",BH106,0)</f>
        <v>0</v>
      </c>
      <c r="AC106" s="29">
        <f>IF(AP106="7",BG106,0)</f>
        <v>0</v>
      </c>
      <c r="AD106" s="29">
        <f>IF(AP106="7",BH106,0)</f>
        <v>0</v>
      </c>
      <c r="AE106" s="29">
        <f>IF(AP106="2",BG106,0)</f>
        <v>0</v>
      </c>
      <c r="AF106" s="29">
        <f>IF(AP106="2",BH106,0)</f>
        <v>0</v>
      </c>
      <c r="AG106" s="29">
        <f>IF(AP106="0",BI106,0)</f>
        <v>0</v>
      </c>
      <c r="AH106" s="25"/>
      <c r="AI106" s="16">
        <f>IF(AM106=0,K106,0)</f>
        <v>0</v>
      </c>
      <c r="AJ106" s="16">
        <f>IF(AM106=15,K106,0)</f>
        <v>0</v>
      </c>
      <c r="AK106" s="16">
        <f>IF(AM106=21,K106,0)</f>
        <v>0</v>
      </c>
      <c r="AM106" s="29">
        <v>21</v>
      </c>
      <c r="AN106" s="29">
        <f>H106*0.328186046511628</f>
        <v>0</v>
      </c>
      <c r="AO106" s="29">
        <f>H106*(1-0.328186046511628)</f>
        <v>0</v>
      </c>
      <c r="AP106" s="24" t="s">
        <v>13</v>
      </c>
      <c r="AU106" s="29">
        <f>AV106+AW106</f>
        <v>0</v>
      </c>
      <c r="AV106" s="29">
        <f>G106*AN106</f>
        <v>0</v>
      </c>
      <c r="AW106" s="29">
        <f>G106*AO106</f>
        <v>0</v>
      </c>
      <c r="AX106" s="30" t="s">
        <v>332</v>
      </c>
      <c r="AY106" s="30" t="s">
        <v>335</v>
      </c>
      <c r="AZ106" s="25" t="s">
        <v>337</v>
      </c>
      <c r="BB106" s="29">
        <f>AV106+AW106</f>
        <v>0</v>
      </c>
      <c r="BC106" s="29">
        <f>H106/(100-BD106)*100</f>
        <v>0</v>
      </c>
      <c r="BD106" s="29">
        <v>0</v>
      </c>
      <c r="BE106" s="29">
        <f>106</f>
        <v>106</v>
      </c>
      <c r="BG106" s="16">
        <f>G106*AN106</f>
        <v>0</v>
      </c>
      <c r="BH106" s="16">
        <f>G106*AO106</f>
        <v>0</v>
      </c>
      <c r="BI106" s="16">
        <f>G106*H106</f>
        <v>0</v>
      </c>
    </row>
    <row r="107" spans="3:7" ht="12.75">
      <c r="C107" s="142" t="s">
        <v>197</v>
      </c>
      <c r="D107" s="143"/>
      <c r="E107" s="143"/>
      <c r="G107" s="69">
        <v>6</v>
      </c>
    </row>
    <row r="108" spans="1:61" ht="12.75">
      <c r="A108" s="4" t="s">
        <v>39</v>
      </c>
      <c r="B108" s="4" t="s">
        <v>123</v>
      </c>
      <c r="C108" s="140" t="s">
        <v>240</v>
      </c>
      <c r="D108" s="141"/>
      <c r="E108" s="141"/>
      <c r="F108" s="4" t="s">
        <v>306</v>
      </c>
      <c r="G108" s="68">
        <v>4</v>
      </c>
      <c r="H108" s="16">
        <v>0</v>
      </c>
      <c r="I108" s="16">
        <f>G108*AN108</f>
        <v>0</v>
      </c>
      <c r="J108" s="16">
        <f>G108*AO108</f>
        <v>0</v>
      </c>
      <c r="K108" s="16">
        <f>G108*H108</f>
        <v>0</v>
      </c>
      <c r="Y108" s="29">
        <f>IF(AP108="5",BI108,0)</f>
        <v>0</v>
      </c>
      <c r="AA108" s="29">
        <f>IF(AP108="1",BG108,0)</f>
        <v>0</v>
      </c>
      <c r="AB108" s="29">
        <f>IF(AP108="1",BH108,0)</f>
        <v>0</v>
      </c>
      <c r="AC108" s="29">
        <f>IF(AP108="7",BG108,0)</f>
        <v>0</v>
      </c>
      <c r="AD108" s="29">
        <f>IF(AP108="7",BH108,0)</f>
        <v>0</v>
      </c>
      <c r="AE108" s="29">
        <f>IF(AP108="2",BG108,0)</f>
        <v>0</v>
      </c>
      <c r="AF108" s="29">
        <f>IF(AP108="2",BH108,0)</f>
        <v>0</v>
      </c>
      <c r="AG108" s="29">
        <f>IF(AP108="0",BI108,0)</f>
        <v>0</v>
      </c>
      <c r="AH108" s="25"/>
      <c r="AI108" s="16">
        <f>IF(AM108=0,K108,0)</f>
        <v>0</v>
      </c>
      <c r="AJ108" s="16">
        <f>IF(AM108=15,K108,0)</f>
        <v>0</v>
      </c>
      <c r="AK108" s="16">
        <f>IF(AM108=21,K108,0)</f>
        <v>0</v>
      </c>
      <c r="AM108" s="29">
        <v>21</v>
      </c>
      <c r="AN108" s="29">
        <f>H108*0.474587155963303</f>
        <v>0</v>
      </c>
      <c r="AO108" s="29">
        <f>H108*(1-0.474587155963303)</f>
        <v>0</v>
      </c>
      <c r="AP108" s="24" t="s">
        <v>13</v>
      </c>
      <c r="AU108" s="29">
        <f>AV108+AW108</f>
        <v>0</v>
      </c>
      <c r="AV108" s="29">
        <f>G108*AN108</f>
        <v>0</v>
      </c>
      <c r="AW108" s="29">
        <f>G108*AO108</f>
        <v>0</v>
      </c>
      <c r="AX108" s="30" t="s">
        <v>332</v>
      </c>
      <c r="AY108" s="30" t="s">
        <v>335</v>
      </c>
      <c r="AZ108" s="25" t="s">
        <v>337</v>
      </c>
      <c r="BB108" s="29">
        <f>AV108+AW108</f>
        <v>0</v>
      </c>
      <c r="BC108" s="29">
        <f>H108/(100-BD108)*100</f>
        <v>0</v>
      </c>
      <c r="BD108" s="29">
        <v>0</v>
      </c>
      <c r="BE108" s="29">
        <f>108</f>
        <v>108</v>
      </c>
      <c r="BG108" s="16">
        <f>G108*AN108</f>
        <v>0</v>
      </c>
      <c r="BH108" s="16">
        <f>G108*AO108</f>
        <v>0</v>
      </c>
      <c r="BI108" s="16">
        <f>G108*H108</f>
        <v>0</v>
      </c>
    </row>
    <row r="109" spans="3:7" ht="12.75">
      <c r="C109" s="142" t="s">
        <v>241</v>
      </c>
      <c r="D109" s="143"/>
      <c r="E109" s="143"/>
      <c r="G109" s="69">
        <v>4</v>
      </c>
    </row>
    <row r="110" spans="1:61" ht="12.75">
      <c r="A110" s="4" t="s">
        <v>40</v>
      </c>
      <c r="B110" s="4" t="s">
        <v>124</v>
      </c>
      <c r="C110" s="140" t="s">
        <v>242</v>
      </c>
      <c r="D110" s="141"/>
      <c r="E110" s="141"/>
      <c r="F110" s="4" t="s">
        <v>306</v>
      </c>
      <c r="G110" s="68">
        <v>6</v>
      </c>
      <c r="H110" s="16">
        <v>0</v>
      </c>
      <c r="I110" s="16">
        <f>G110*AN110</f>
        <v>0</v>
      </c>
      <c r="J110" s="16">
        <f>G110*AO110</f>
        <v>0</v>
      </c>
      <c r="K110" s="16">
        <f>G110*H110</f>
        <v>0</v>
      </c>
      <c r="Y110" s="29">
        <f>IF(AP110="5",BI110,0)</f>
        <v>0</v>
      </c>
      <c r="AA110" s="29">
        <f>IF(AP110="1",BG110,0)</f>
        <v>0</v>
      </c>
      <c r="AB110" s="29">
        <f>IF(AP110="1",BH110,0)</f>
        <v>0</v>
      </c>
      <c r="AC110" s="29">
        <f>IF(AP110="7",BG110,0)</f>
        <v>0</v>
      </c>
      <c r="AD110" s="29">
        <f>IF(AP110="7",BH110,0)</f>
        <v>0</v>
      </c>
      <c r="AE110" s="29">
        <f>IF(AP110="2",BG110,0)</f>
        <v>0</v>
      </c>
      <c r="AF110" s="29">
        <f>IF(AP110="2",BH110,0)</f>
        <v>0</v>
      </c>
      <c r="AG110" s="29">
        <f>IF(AP110="0",BI110,0)</f>
        <v>0</v>
      </c>
      <c r="AH110" s="25"/>
      <c r="AI110" s="16">
        <f>IF(AM110=0,K110,0)</f>
        <v>0</v>
      </c>
      <c r="AJ110" s="16">
        <f>IF(AM110=15,K110,0)</f>
        <v>0</v>
      </c>
      <c r="AK110" s="16">
        <f>IF(AM110=21,K110,0)</f>
        <v>0</v>
      </c>
      <c r="AM110" s="29">
        <v>21</v>
      </c>
      <c r="AN110" s="29">
        <f>H110*0.4387</f>
        <v>0</v>
      </c>
      <c r="AO110" s="29">
        <f>H110*(1-0.4387)</f>
        <v>0</v>
      </c>
      <c r="AP110" s="24" t="s">
        <v>13</v>
      </c>
      <c r="AU110" s="29">
        <f>AV110+AW110</f>
        <v>0</v>
      </c>
      <c r="AV110" s="29">
        <f>G110*AN110</f>
        <v>0</v>
      </c>
      <c r="AW110" s="29">
        <f>G110*AO110</f>
        <v>0</v>
      </c>
      <c r="AX110" s="30" t="s">
        <v>332</v>
      </c>
      <c r="AY110" s="30" t="s">
        <v>335</v>
      </c>
      <c r="AZ110" s="25" t="s">
        <v>337</v>
      </c>
      <c r="BB110" s="29">
        <f>AV110+AW110</f>
        <v>0</v>
      </c>
      <c r="BC110" s="29">
        <f>H110/(100-BD110)*100</f>
        <v>0</v>
      </c>
      <c r="BD110" s="29">
        <v>0</v>
      </c>
      <c r="BE110" s="29">
        <f>110</f>
        <v>110</v>
      </c>
      <c r="BG110" s="16">
        <f>G110*AN110</f>
        <v>0</v>
      </c>
      <c r="BH110" s="16">
        <f>G110*AO110</f>
        <v>0</v>
      </c>
      <c r="BI110" s="16">
        <f>G110*H110</f>
        <v>0</v>
      </c>
    </row>
    <row r="111" spans="3:5" ht="12.75">
      <c r="C111" s="151" t="s">
        <v>218</v>
      </c>
      <c r="D111" s="152"/>
      <c r="E111" s="152"/>
    </row>
    <row r="112" spans="3:7" ht="12.75">
      <c r="C112" s="142" t="s">
        <v>243</v>
      </c>
      <c r="D112" s="143"/>
      <c r="E112" s="143"/>
      <c r="G112" s="69">
        <v>6</v>
      </c>
    </row>
    <row r="113" spans="1:61" ht="12.75">
      <c r="A113" s="4" t="s">
        <v>41</v>
      </c>
      <c r="B113" s="4" t="s">
        <v>125</v>
      </c>
      <c r="C113" s="140" t="s">
        <v>242</v>
      </c>
      <c r="D113" s="141"/>
      <c r="E113" s="141"/>
      <c r="F113" s="4" t="s">
        <v>306</v>
      </c>
      <c r="G113" s="68">
        <v>4</v>
      </c>
      <c r="H113" s="16">
        <v>0</v>
      </c>
      <c r="I113" s="16">
        <f>G113*AN113</f>
        <v>0</v>
      </c>
      <c r="J113" s="16">
        <f>G113*AO113</f>
        <v>0</v>
      </c>
      <c r="K113" s="16">
        <f>G113*H113</f>
        <v>0</v>
      </c>
      <c r="Y113" s="29">
        <f>IF(AP113="5",BI113,0)</f>
        <v>0</v>
      </c>
      <c r="AA113" s="29">
        <f>IF(AP113="1",BG113,0)</f>
        <v>0</v>
      </c>
      <c r="AB113" s="29">
        <f>IF(AP113="1",BH113,0)</f>
        <v>0</v>
      </c>
      <c r="AC113" s="29">
        <f>IF(AP113="7",BG113,0)</f>
        <v>0</v>
      </c>
      <c r="AD113" s="29">
        <f>IF(AP113="7",BH113,0)</f>
        <v>0</v>
      </c>
      <c r="AE113" s="29">
        <f>IF(AP113="2",BG113,0)</f>
        <v>0</v>
      </c>
      <c r="AF113" s="29">
        <f>IF(AP113="2",BH113,0)</f>
        <v>0</v>
      </c>
      <c r="AG113" s="29">
        <f>IF(AP113="0",BI113,0)</f>
        <v>0</v>
      </c>
      <c r="AH113" s="25"/>
      <c r="AI113" s="16">
        <f>IF(AM113=0,K113,0)</f>
        <v>0</v>
      </c>
      <c r="AJ113" s="16">
        <f>IF(AM113=15,K113,0)</f>
        <v>0</v>
      </c>
      <c r="AK113" s="16">
        <f>IF(AM113=21,K113,0)</f>
        <v>0</v>
      </c>
      <c r="AM113" s="29">
        <v>21</v>
      </c>
      <c r="AN113" s="29">
        <f>H113*0.475390070921986</f>
        <v>0</v>
      </c>
      <c r="AO113" s="29">
        <f>H113*(1-0.475390070921986)</f>
        <v>0</v>
      </c>
      <c r="AP113" s="24" t="s">
        <v>13</v>
      </c>
      <c r="AU113" s="29">
        <f>AV113+AW113</f>
        <v>0</v>
      </c>
      <c r="AV113" s="29">
        <f>G113*AN113</f>
        <v>0</v>
      </c>
      <c r="AW113" s="29">
        <f>G113*AO113</f>
        <v>0</v>
      </c>
      <c r="AX113" s="30" t="s">
        <v>332</v>
      </c>
      <c r="AY113" s="30" t="s">
        <v>335</v>
      </c>
      <c r="AZ113" s="25" t="s">
        <v>337</v>
      </c>
      <c r="BB113" s="29">
        <f>AV113+AW113</f>
        <v>0</v>
      </c>
      <c r="BC113" s="29">
        <f>H113/(100-BD113)*100</f>
        <v>0</v>
      </c>
      <c r="BD113" s="29">
        <v>0</v>
      </c>
      <c r="BE113" s="29">
        <f>113</f>
        <v>113</v>
      </c>
      <c r="BG113" s="16">
        <f>G113*AN113</f>
        <v>0</v>
      </c>
      <c r="BH113" s="16">
        <f>G113*AO113</f>
        <v>0</v>
      </c>
      <c r="BI113" s="16">
        <f>G113*H113</f>
        <v>0</v>
      </c>
    </row>
    <row r="114" spans="3:5" ht="12.75">
      <c r="C114" s="151" t="s">
        <v>221</v>
      </c>
      <c r="D114" s="152"/>
      <c r="E114" s="152"/>
    </row>
    <row r="115" spans="3:7" ht="12.75">
      <c r="C115" s="142" t="s">
        <v>241</v>
      </c>
      <c r="D115" s="143"/>
      <c r="E115" s="143"/>
      <c r="G115" s="69">
        <v>4</v>
      </c>
    </row>
    <row r="116" spans="1:61" ht="12.75">
      <c r="A116" s="4" t="s">
        <v>42</v>
      </c>
      <c r="B116" s="4" t="s">
        <v>113</v>
      </c>
      <c r="C116" s="140" t="s">
        <v>223</v>
      </c>
      <c r="D116" s="141"/>
      <c r="E116" s="141"/>
      <c r="F116" s="4" t="s">
        <v>305</v>
      </c>
      <c r="G116" s="68">
        <v>11</v>
      </c>
      <c r="H116" s="16">
        <v>0</v>
      </c>
      <c r="I116" s="16">
        <f>G116*AN116</f>
        <v>0</v>
      </c>
      <c r="J116" s="16">
        <f>G116*AO116</f>
        <v>0</v>
      </c>
      <c r="K116" s="16">
        <f>G116*H116</f>
        <v>0</v>
      </c>
      <c r="Y116" s="29">
        <f>IF(AP116="5",BI116,0)</f>
        <v>0</v>
      </c>
      <c r="AA116" s="29">
        <f>IF(AP116="1",BG116,0)</f>
        <v>0</v>
      </c>
      <c r="AB116" s="29">
        <f>IF(AP116="1",BH116,0)</f>
        <v>0</v>
      </c>
      <c r="AC116" s="29">
        <f>IF(AP116="7",BG116,0)</f>
        <v>0</v>
      </c>
      <c r="AD116" s="29">
        <f>IF(AP116="7",BH116,0)</f>
        <v>0</v>
      </c>
      <c r="AE116" s="29">
        <f>IF(AP116="2",BG116,0)</f>
        <v>0</v>
      </c>
      <c r="AF116" s="29">
        <f>IF(AP116="2",BH116,0)</f>
        <v>0</v>
      </c>
      <c r="AG116" s="29">
        <f>IF(AP116="0",BI116,0)</f>
        <v>0</v>
      </c>
      <c r="AH116" s="25"/>
      <c r="AI116" s="16">
        <f>IF(AM116=0,K116,0)</f>
        <v>0</v>
      </c>
      <c r="AJ116" s="16">
        <f>IF(AM116=15,K116,0)</f>
        <v>0</v>
      </c>
      <c r="AK116" s="16">
        <f>IF(AM116=21,K116,0)</f>
        <v>0</v>
      </c>
      <c r="AM116" s="29">
        <v>21</v>
      </c>
      <c r="AN116" s="29">
        <f>H116*0</f>
        <v>0</v>
      </c>
      <c r="AO116" s="29">
        <f>H116*(1-0)</f>
        <v>0</v>
      </c>
      <c r="AP116" s="24" t="s">
        <v>13</v>
      </c>
      <c r="AU116" s="29">
        <f>AV116+AW116</f>
        <v>0</v>
      </c>
      <c r="AV116" s="29">
        <f>G116*AN116</f>
        <v>0</v>
      </c>
      <c r="AW116" s="29">
        <f>G116*AO116</f>
        <v>0</v>
      </c>
      <c r="AX116" s="30" t="s">
        <v>332</v>
      </c>
      <c r="AY116" s="30" t="s">
        <v>335</v>
      </c>
      <c r="AZ116" s="25" t="s">
        <v>337</v>
      </c>
      <c r="BB116" s="29">
        <f>AV116+AW116</f>
        <v>0</v>
      </c>
      <c r="BC116" s="29">
        <f>H116/(100-BD116)*100</f>
        <v>0</v>
      </c>
      <c r="BD116" s="29">
        <v>0</v>
      </c>
      <c r="BE116" s="29">
        <f>116</f>
        <v>116</v>
      </c>
      <c r="BG116" s="16">
        <f>G116*AN116</f>
        <v>0</v>
      </c>
      <c r="BH116" s="16">
        <f>G116*AO116</f>
        <v>0</v>
      </c>
      <c r="BI116" s="16">
        <f>G116*H116</f>
        <v>0</v>
      </c>
    </row>
    <row r="117" spans="3:7" ht="12.75">
      <c r="C117" s="142" t="s">
        <v>244</v>
      </c>
      <c r="D117" s="143"/>
      <c r="E117" s="143"/>
      <c r="G117" s="69">
        <v>11</v>
      </c>
    </row>
    <row r="118" spans="1:61" ht="12.75">
      <c r="A118" s="4" t="s">
        <v>43</v>
      </c>
      <c r="B118" s="4" t="s">
        <v>126</v>
      </c>
      <c r="C118" s="140" t="s">
        <v>245</v>
      </c>
      <c r="D118" s="141"/>
      <c r="E118" s="141"/>
      <c r="F118" s="4" t="s">
        <v>305</v>
      </c>
      <c r="G118" s="68">
        <v>1</v>
      </c>
      <c r="H118" s="16">
        <v>0</v>
      </c>
      <c r="I118" s="16">
        <f>G118*AN118</f>
        <v>0</v>
      </c>
      <c r="J118" s="16">
        <f>G118*AO118</f>
        <v>0</v>
      </c>
      <c r="K118" s="16">
        <f>G118*H118</f>
        <v>0</v>
      </c>
      <c r="Y118" s="29">
        <f>IF(AP118="5",BI118,0)</f>
        <v>0</v>
      </c>
      <c r="AA118" s="29">
        <f>IF(AP118="1",BG118,0)</f>
        <v>0</v>
      </c>
      <c r="AB118" s="29">
        <f>IF(AP118="1",BH118,0)</f>
        <v>0</v>
      </c>
      <c r="AC118" s="29">
        <f>IF(AP118="7",BG118,0)</f>
        <v>0</v>
      </c>
      <c r="AD118" s="29">
        <f>IF(AP118="7",BH118,0)</f>
        <v>0</v>
      </c>
      <c r="AE118" s="29">
        <f>IF(AP118="2",BG118,0)</f>
        <v>0</v>
      </c>
      <c r="AF118" s="29">
        <f>IF(AP118="2",BH118,0)</f>
        <v>0</v>
      </c>
      <c r="AG118" s="29">
        <f>IF(AP118="0",BI118,0)</f>
        <v>0</v>
      </c>
      <c r="AH118" s="25"/>
      <c r="AI118" s="16">
        <f>IF(AM118=0,K118,0)</f>
        <v>0</v>
      </c>
      <c r="AJ118" s="16">
        <f>IF(AM118=15,K118,0)</f>
        <v>0</v>
      </c>
      <c r="AK118" s="16">
        <f>IF(AM118=21,K118,0)</f>
        <v>0</v>
      </c>
      <c r="AM118" s="29">
        <v>21</v>
      </c>
      <c r="AN118" s="29">
        <f>H118*0.829759450171821</f>
        <v>0</v>
      </c>
      <c r="AO118" s="29">
        <f>H118*(1-0.829759450171821)</f>
        <v>0</v>
      </c>
      <c r="AP118" s="24" t="s">
        <v>13</v>
      </c>
      <c r="AU118" s="29">
        <f>AV118+AW118</f>
        <v>0</v>
      </c>
      <c r="AV118" s="29">
        <f>G118*AN118</f>
        <v>0</v>
      </c>
      <c r="AW118" s="29">
        <f>G118*AO118</f>
        <v>0</v>
      </c>
      <c r="AX118" s="30" t="s">
        <v>332</v>
      </c>
      <c r="AY118" s="30" t="s">
        <v>335</v>
      </c>
      <c r="AZ118" s="25" t="s">
        <v>337</v>
      </c>
      <c r="BB118" s="29">
        <f>AV118+AW118</f>
        <v>0</v>
      </c>
      <c r="BC118" s="29">
        <f>H118/(100-BD118)*100</f>
        <v>0</v>
      </c>
      <c r="BD118" s="29">
        <v>0</v>
      </c>
      <c r="BE118" s="29">
        <f>118</f>
        <v>118</v>
      </c>
      <c r="BG118" s="16">
        <f>G118*AN118</f>
        <v>0</v>
      </c>
      <c r="BH118" s="16">
        <f>G118*AO118</f>
        <v>0</v>
      </c>
      <c r="BI118" s="16">
        <f>G118*H118</f>
        <v>0</v>
      </c>
    </row>
    <row r="119" spans="3:7" ht="12.75">
      <c r="C119" s="142" t="s">
        <v>186</v>
      </c>
      <c r="D119" s="143"/>
      <c r="E119" s="143"/>
      <c r="G119" s="69">
        <v>1</v>
      </c>
    </row>
    <row r="120" spans="1:61" ht="12.75">
      <c r="A120" s="4" t="s">
        <v>44</v>
      </c>
      <c r="B120" s="4" t="s">
        <v>127</v>
      </c>
      <c r="C120" s="140" t="s">
        <v>246</v>
      </c>
      <c r="D120" s="141"/>
      <c r="E120" s="141"/>
      <c r="F120" s="4" t="s">
        <v>305</v>
      </c>
      <c r="G120" s="68">
        <v>1</v>
      </c>
      <c r="H120" s="16">
        <v>0</v>
      </c>
      <c r="I120" s="16">
        <f>G120*AN120</f>
        <v>0</v>
      </c>
      <c r="J120" s="16">
        <f>G120*AO120</f>
        <v>0</v>
      </c>
      <c r="K120" s="16">
        <f>G120*H120</f>
        <v>0</v>
      </c>
      <c r="Y120" s="29">
        <f>IF(AP120="5",BI120,0)</f>
        <v>0</v>
      </c>
      <c r="AA120" s="29">
        <f>IF(AP120="1",BG120,0)</f>
        <v>0</v>
      </c>
      <c r="AB120" s="29">
        <f>IF(AP120="1",BH120,0)</f>
        <v>0</v>
      </c>
      <c r="AC120" s="29">
        <f>IF(AP120="7",BG120,0)</f>
        <v>0</v>
      </c>
      <c r="AD120" s="29">
        <f>IF(AP120="7",BH120,0)</f>
        <v>0</v>
      </c>
      <c r="AE120" s="29">
        <f>IF(AP120="2",BG120,0)</f>
        <v>0</v>
      </c>
      <c r="AF120" s="29">
        <f>IF(AP120="2",BH120,0)</f>
        <v>0</v>
      </c>
      <c r="AG120" s="29">
        <f>IF(AP120="0",BI120,0)</f>
        <v>0</v>
      </c>
      <c r="AH120" s="25"/>
      <c r="AI120" s="16">
        <f>IF(AM120=0,K120,0)</f>
        <v>0</v>
      </c>
      <c r="AJ120" s="16">
        <f>IF(AM120=15,K120,0)</f>
        <v>0</v>
      </c>
      <c r="AK120" s="16">
        <f>IF(AM120=21,K120,0)</f>
        <v>0</v>
      </c>
      <c r="AM120" s="29">
        <v>21</v>
      </c>
      <c r="AN120" s="29">
        <f>H120*0.475767195767196</f>
        <v>0</v>
      </c>
      <c r="AO120" s="29">
        <f>H120*(1-0.475767195767196)</f>
        <v>0</v>
      </c>
      <c r="AP120" s="24" t="s">
        <v>13</v>
      </c>
      <c r="AU120" s="29">
        <f>AV120+AW120</f>
        <v>0</v>
      </c>
      <c r="AV120" s="29">
        <f>G120*AN120</f>
        <v>0</v>
      </c>
      <c r="AW120" s="29">
        <f>G120*AO120</f>
        <v>0</v>
      </c>
      <c r="AX120" s="30" t="s">
        <v>332</v>
      </c>
      <c r="AY120" s="30" t="s">
        <v>335</v>
      </c>
      <c r="AZ120" s="25" t="s">
        <v>337</v>
      </c>
      <c r="BB120" s="29">
        <f>AV120+AW120</f>
        <v>0</v>
      </c>
      <c r="BC120" s="29">
        <f>H120/(100-BD120)*100</f>
        <v>0</v>
      </c>
      <c r="BD120" s="29">
        <v>0</v>
      </c>
      <c r="BE120" s="29">
        <f>120</f>
        <v>120</v>
      </c>
      <c r="BG120" s="16">
        <f>G120*AN120</f>
        <v>0</v>
      </c>
      <c r="BH120" s="16">
        <f>G120*AO120</f>
        <v>0</v>
      </c>
      <c r="BI120" s="16">
        <f>G120*H120</f>
        <v>0</v>
      </c>
    </row>
    <row r="121" spans="3:7" ht="12.75">
      <c r="C121" s="142" t="s">
        <v>186</v>
      </c>
      <c r="D121" s="143"/>
      <c r="E121" s="143"/>
      <c r="G121" s="69">
        <v>1</v>
      </c>
    </row>
    <row r="122" spans="1:61" ht="12.75">
      <c r="A122" s="4" t="s">
        <v>45</v>
      </c>
      <c r="B122" s="4" t="s">
        <v>128</v>
      </c>
      <c r="C122" s="140" t="s">
        <v>247</v>
      </c>
      <c r="D122" s="141"/>
      <c r="E122" s="141"/>
      <c r="F122" s="4" t="s">
        <v>305</v>
      </c>
      <c r="G122" s="68">
        <v>2</v>
      </c>
      <c r="H122" s="16">
        <v>0</v>
      </c>
      <c r="I122" s="16">
        <f>G122*AN122</f>
        <v>0</v>
      </c>
      <c r="J122" s="16">
        <f>G122*AO122</f>
        <v>0</v>
      </c>
      <c r="K122" s="16">
        <f>G122*H122</f>
        <v>0</v>
      </c>
      <c r="Y122" s="29">
        <f>IF(AP122="5",BI122,0)</f>
        <v>0</v>
      </c>
      <c r="AA122" s="29">
        <f>IF(AP122="1",BG122,0)</f>
        <v>0</v>
      </c>
      <c r="AB122" s="29">
        <f>IF(AP122="1",BH122,0)</f>
        <v>0</v>
      </c>
      <c r="AC122" s="29">
        <f>IF(AP122="7",BG122,0)</f>
        <v>0</v>
      </c>
      <c r="AD122" s="29">
        <f>IF(AP122="7",BH122,0)</f>
        <v>0</v>
      </c>
      <c r="AE122" s="29">
        <f>IF(AP122="2",BG122,0)</f>
        <v>0</v>
      </c>
      <c r="AF122" s="29">
        <f>IF(AP122="2",BH122,0)</f>
        <v>0</v>
      </c>
      <c r="AG122" s="29">
        <f>IF(AP122="0",BI122,0)</f>
        <v>0</v>
      </c>
      <c r="AH122" s="25"/>
      <c r="AI122" s="16">
        <f>IF(AM122=0,K122,0)</f>
        <v>0</v>
      </c>
      <c r="AJ122" s="16">
        <f>IF(AM122=15,K122,0)</f>
        <v>0</v>
      </c>
      <c r="AK122" s="16">
        <f>IF(AM122=21,K122,0)</f>
        <v>0</v>
      </c>
      <c r="AM122" s="29">
        <v>21</v>
      </c>
      <c r="AN122" s="29">
        <f>H122*0.548610478359909</f>
        <v>0</v>
      </c>
      <c r="AO122" s="29">
        <f>H122*(1-0.548610478359909)</f>
        <v>0</v>
      </c>
      <c r="AP122" s="24" t="s">
        <v>13</v>
      </c>
      <c r="AU122" s="29">
        <f>AV122+AW122</f>
        <v>0</v>
      </c>
      <c r="AV122" s="29">
        <f>G122*AN122</f>
        <v>0</v>
      </c>
      <c r="AW122" s="29">
        <f>G122*AO122</f>
        <v>0</v>
      </c>
      <c r="AX122" s="30" t="s">
        <v>332</v>
      </c>
      <c r="AY122" s="30" t="s">
        <v>335</v>
      </c>
      <c r="AZ122" s="25" t="s">
        <v>337</v>
      </c>
      <c r="BB122" s="29">
        <f>AV122+AW122</f>
        <v>0</v>
      </c>
      <c r="BC122" s="29">
        <f>H122/(100-BD122)*100</f>
        <v>0</v>
      </c>
      <c r="BD122" s="29">
        <v>0</v>
      </c>
      <c r="BE122" s="29">
        <f>122</f>
        <v>122</v>
      </c>
      <c r="BG122" s="16">
        <f>G122*AN122</f>
        <v>0</v>
      </c>
      <c r="BH122" s="16">
        <f>G122*AO122</f>
        <v>0</v>
      </c>
      <c r="BI122" s="16">
        <f>G122*H122</f>
        <v>0</v>
      </c>
    </row>
    <row r="123" spans="3:7" ht="12.75">
      <c r="C123" s="142" t="s">
        <v>193</v>
      </c>
      <c r="D123" s="143"/>
      <c r="E123" s="143"/>
      <c r="G123" s="69">
        <v>2</v>
      </c>
    </row>
    <row r="124" spans="1:61" ht="12.75">
      <c r="A124" s="4" t="s">
        <v>46</v>
      </c>
      <c r="B124" s="4" t="s">
        <v>129</v>
      </c>
      <c r="C124" s="140" t="s">
        <v>248</v>
      </c>
      <c r="D124" s="141"/>
      <c r="E124" s="141"/>
      <c r="F124" s="4" t="s">
        <v>306</v>
      </c>
      <c r="G124" s="68">
        <v>47.3</v>
      </c>
      <c r="H124" s="16">
        <v>0</v>
      </c>
      <c r="I124" s="16">
        <f>G124*AN124</f>
        <v>0</v>
      </c>
      <c r="J124" s="16">
        <f>G124*AO124</f>
        <v>0</v>
      </c>
      <c r="K124" s="16">
        <f>G124*H124</f>
        <v>0</v>
      </c>
      <c r="Y124" s="29">
        <f>IF(AP124="5",BI124,0)</f>
        <v>0</v>
      </c>
      <c r="AA124" s="29">
        <f>IF(AP124="1",BG124,0)</f>
        <v>0</v>
      </c>
      <c r="AB124" s="29">
        <f>IF(AP124="1",BH124,0)</f>
        <v>0</v>
      </c>
      <c r="AC124" s="29">
        <f>IF(AP124="7",BG124,0)</f>
        <v>0</v>
      </c>
      <c r="AD124" s="29">
        <f>IF(AP124="7",BH124,0)</f>
        <v>0</v>
      </c>
      <c r="AE124" s="29">
        <f>IF(AP124="2",BG124,0)</f>
        <v>0</v>
      </c>
      <c r="AF124" s="29">
        <f>IF(AP124="2",BH124,0)</f>
        <v>0</v>
      </c>
      <c r="AG124" s="29">
        <f>IF(AP124="0",BI124,0)</f>
        <v>0</v>
      </c>
      <c r="AH124" s="25"/>
      <c r="AI124" s="16">
        <f>IF(AM124=0,K124,0)</f>
        <v>0</v>
      </c>
      <c r="AJ124" s="16">
        <f>IF(AM124=15,K124,0)</f>
        <v>0</v>
      </c>
      <c r="AK124" s="16">
        <f>IF(AM124=21,K124,0)</f>
        <v>0</v>
      </c>
      <c r="AM124" s="29">
        <v>21</v>
      </c>
      <c r="AN124" s="29">
        <f>H124*0</f>
        <v>0</v>
      </c>
      <c r="AO124" s="29">
        <f>H124*(1-0)</f>
        <v>0</v>
      </c>
      <c r="AP124" s="24" t="s">
        <v>13</v>
      </c>
      <c r="AU124" s="29">
        <f>AV124+AW124</f>
        <v>0</v>
      </c>
      <c r="AV124" s="29">
        <f>G124*AN124</f>
        <v>0</v>
      </c>
      <c r="AW124" s="29">
        <f>G124*AO124</f>
        <v>0</v>
      </c>
      <c r="AX124" s="30" t="s">
        <v>332</v>
      </c>
      <c r="AY124" s="30" t="s">
        <v>335</v>
      </c>
      <c r="AZ124" s="25" t="s">
        <v>337</v>
      </c>
      <c r="BB124" s="29">
        <f>AV124+AW124</f>
        <v>0</v>
      </c>
      <c r="BC124" s="29">
        <f>H124/(100-BD124)*100</f>
        <v>0</v>
      </c>
      <c r="BD124" s="29">
        <v>0</v>
      </c>
      <c r="BE124" s="29">
        <f>124</f>
        <v>124</v>
      </c>
      <c r="BG124" s="16">
        <f>G124*AN124</f>
        <v>0</v>
      </c>
      <c r="BH124" s="16">
        <f>G124*AO124</f>
        <v>0</v>
      </c>
      <c r="BI124" s="16">
        <f>G124*H124</f>
        <v>0</v>
      </c>
    </row>
    <row r="125" spans="3:7" ht="12.75">
      <c r="C125" s="142" t="s">
        <v>249</v>
      </c>
      <c r="D125" s="143"/>
      <c r="E125" s="143"/>
      <c r="G125" s="69">
        <v>47.3</v>
      </c>
    </row>
    <row r="126" spans="1:61" ht="12.75">
      <c r="A126" s="4" t="s">
        <v>47</v>
      </c>
      <c r="B126" s="4" t="s">
        <v>130</v>
      </c>
      <c r="C126" s="140" t="s">
        <v>250</v>
      </c>
      <c r="D126" s="141"/>
      <c r="E126" s="141"/>
      <c r="F126" s="4" t="s">
        <v>307</v>
      </c>
      <c r="G126" s="68">
        <v>0.217</v>
      </c>
      <c r="H126" s="16">
        <v>0</v>
      </c>
      <c r="I126" s="16">
        <f>G126*AN126</f>
        <v>0</v>
      </c>
      <c r="J126" s="16">
        <f>G126*AO126</f>
        <v>0</v>
      </c>
      <c r="K126" s="16">
        <f>G126*H126</f>
        <v>0</v>
      </c>
      <c r="Y126" s="29">
        <f>IF(AP126="5",BI126,0)</f>
        <v>0</v>
      </c>
      <c r="AA126" s="29">
        <f>IF(AP126="1",BG126,0)</f>
        <v>0</v>
      </c>
      <c r="AB126" s="29">
        <f>IF(AP126="1",BH126,0)</f>
        <v>0</v>
      </c>
      <c r="AC126" s="29">
        <f>IF(AP126="7",BG126,0)</f>
        <v>0</v>
      </c>
      <c r="AD126" s="29">
        <f>IF(AP126="7",BH126,0)</f>
        <v>0</v>
      </c>
      <c r="AE126" s="29">
        <f>IF(AP126="2",BG126,0)</f>
        <v>0</v>
      </c>
      <c r="AF126" s="29">
        <f>IF(AP126="2",BH126,0)</f>
        <v>0</v>
      </c>
      <c r="AG126" s="29">
        <f>IF(AP126="0",BI126,0)</f>
        <v>0</v>
      </c>
      <c r="AH126" s="25"/>
      <c r="AI126" s="16">
        <f>IF(AM126=0,K126,0)</f>
        <v>0</v>
      </c>
      <c r="AJ126" s="16">
        <f>IF(AM126=15,K126,0)</f>
        <v>0</v>
      </c>
      <c r="AK126" s="16">
        <f>IF(AM126=21,K126,0)</f>
        <v>0</v>
      </c>
      <c r="AM126" s="29">
        <v>21</v>
      </c>
      <c r="AN126" s="29">
        <f>H126*0</f>
        <v>0</v>
      </c>
      <c r="AO126" s="29">
        <f>H126*(1-0)</f>
        <v>0</v>
      </c>
      <c r="AP126" s="24" t="s">
        <v>11</v>
      </c>
      <c r="AU126" s="29">
        <f>AV126+AW126</f>
        <v>0</v>
      </c>
      <c r="AV126" s="29">
        <f>G126*AN126</f>
        <v>0</v>
      </c>
      <c r="AW126" s="29">
        <f>G126*AO126</f>
        <v>0</v>
      </c>
      <c r="AX126" s="30" t="s">
        <v>332</v>
      </c>
      <c r="AY126" s="30" t="s">
        <v>335</v>
      </c>
      <c r="AZ126" s="25" t="s">
        <v>337</v>
      </c>
      <c r="BB126" s="29">
        <f>AV126+AW126</f>
        <v>0</v>
      </c>
      <c r="BC126" s="29">
        <f>H126/(100-BD126)*100</f>
        <v>0</v>
      </c>
      <c r="BD126" s="29">
        <v>0</v>
      </c>
      <c r="BE126" s="29">
        <f>126</f>
        <v>126</v>
      </c>
      <c r="BG126" s="16">
        <f>G126*AN126</f>
        <v>0</v>
      </c>
      <c r="BH126" s="16">
        <f>G126*AO126</f>
        <v>0</v>
      </c>
      <c r="BI126" s="16">
        <f>G126*H126</f>
        <v>0</v>
      </c>
    </row>
    <row r="127" spans="1:46" ht="12.75">
      <c r="A127" s="5"/>
      <c r="B127" s="13" t="s">
        <v>131</v>
      </c>
      <c r="C127" s="147" t="s">
        <v>251</v>
      </c>
      <c r="D127" s="148"/>
      <c r="E127" s="148"/>
      <c r="F127" s="5" t="s">
        <v>6</v>
      </c>
      <c r="G127" s="5" t="s">
        <v>6</v>
      </c>
      <c r="H127" s="5" t="s">
        <v>6</v>
      </c>
      <c r="I127" s="32">
        <f>SUM(I128:I212)</f>
        <v>0</v>
      </c>
      <c r="J127" s="32">
        <f>SUM(J128:J212)</f>
        <v>0</v>
      </c>
      <c r="K127" s="32">
        <f>SUM(K128:K212)</f>
        <v>0</v>
      </c>
      <c r="AH127" s="25"/>
      <c r="AR127" s="32">
        <f>SUM(AI128:AI212)</f>
        <v>0</v>
      </c>
      <c r="AS127" s="32">
        <f>SUM(AJ128:AJ212)</f>
        <v>0</v>
      </c>
      <c r="AT127" s="32">
        <f>SUM(AK128:AK212)</f>
        <v>0</v>
      </c>
    </row>
    <row r="128" spans="1:61" ht="12.75">
      <c r="A128" s="4" t="s">
        <v>48</v>
      </c>
      <c r="B128" s="4" t="s">
        <v>132</v>
      </c>
      <c r="C128" s="140" t="s">
        <v>252</v>
      </c>
      <c r="D128" s="141"/>
      <c r="E128" s="141"/>
      <c r="F128" s="4" t="s">
        <v>308</v>
      </c>
      <c r="G128" s="68">
        <v>4</v>
      </c>
      <c r="H128" s="16">
        <v>0</v>
      </c>
      <c r="I128" s="16">
        <f>G128*AN128</f>
        <v>0</v>
      </c>
      <c r="J128" s="16">
        <f>G128*AO128</f>
        <v>0</v>
      </c>
      <c r="K128" s="16">
        <f>G128*H128</f>
        <v>0</v>
      </c>
      <c r="Y128" s="29">
        <f>IF(AP128="5",BI128,0)</f>
        <v>0</v>
      </c>
      <c r="AA128" s="29">
        <f>IF(AP128="1",BG128,0)</f>
        <v>0</v>
      </c>
      <c r="AB128" s="29">
        <f>IF(AP128="1",BH128,0)</f>
        <v>0</v>
      </c>
      <c r="AC128" s="29">
        <f>IF(AP128="7",BG128,0)</f>
        <v>0</v>
      </c>
      <c r="AD128" s="29">
        <f>IF(AP128="7",BH128,0)</f>
        <v>0</v>
      </c>
      <c r="AE128" s="29">
        <f>IF(AP128="2",BG128,0)</f>
        <v>0</v>
      </c>
      <c r="AF128" s="29">
        <f>IF(AP128="2",BH128,0)</f>
        <v>0</v>
      </c>
      <c r="AG128" s="29">
        <f>IF(AP128="0",BI128,0)</f>
        <v>0</v>
      </c>
      <c r="AH128" s="25"/>
      <c r="AI128" s="16">
        <f>IF(AM128=0,K128,0)</f>
        <v>0</v>
      </c>
      <c r="AJ128" s="16">
        <f>IF(AM128=15,K128,0)</f>
        <v>0</v>
      </c>
      <c r="AK128" s="16">
        <f>IF(AM128=21,K128,0)</f>
        <v>0</v>
      </c>
      <c r="AM128" s="29">
        <v>21</v>
      </c>
      <c r="AN128" s="29">
        <f>H128*0</f>
        <v>0</v>
      </c>
      <c r="AO128" s="29">
        <f>H128*(1-0)</f>
        <v>0</v>
      </c>
      <c r="AP128" s="24" t="s">
        <v>13</v>
      </c>
      <c r="AU128" s="29">
        <f>AV128+AW128</f>
        <v>0</v>
      </c>
      <c r="AV128" s="29">
        <f>G128*AN128</f>
        <v>0</v>
      </c>
      <c r="AW128" s="29">
        <f>G128*AO128</f>
        <v>0</v>
      </c>
      <c r="AX128" s="30" t="s">
        <v>333</v>
      </c>
      <c r="AY128" s="30" t="s">
        <v>335</v>
      </c>
      <c r="AZ128" s="25" t="s">
        <v>337</v>
      </c>
      <c r="BB128" s="29">
        <f>AV128+AW128</f>
        <v>0</v>
      </c>
      <c r="BC128" s="29">
        <f>H128/(100-BD128)*100</f>
        <v>0</v>
      </c>
      <c r="BD128" s="29">
        <v>0</v>
      </c>
      <c r="BE128" s="29">
        <f>128</f>
        <v>128</v>
      </c>
      <c r="BG128" s="16">
        <f>G128*AN128</f>
        <v>0</v>
      </c>
      <c r="BH128" s="16">
        <f>G128*AO128</f>
        <v>0</v>
      </c>
      <c r="BI128" s="16">
        <f>G128*H128</f>
        <v>0</v>
      </c>
    </row>
    <row r="129" spans="3:7" ht="12.75">
      <c r="C129" s="142" t="s">
        <v>232</v>
      </c>
      <c r="D129" s="143"/>
      <c r="E129" s="143"/>
      <c r="G129" s="69">
        <v>1</v>
      </c>
    </row>
    <row r="130" spans="3:7" ht="12.75">
      <c r="C130" s="142" t="s">
        <v>202</v>
      </c>
      <c r="D130" s="143"/>
      <c r="E130" s="143"/>
      <c r="G130" s="69">
        <v>3</v>
      </c>
    </row>
    <row r="131" spans="1:61" ht="12.75">
      <c r="A131" s="4" t="s">
        <v>49</v>
      </c>
      <c r="B131" s="4" t="s">
        <v>133</v>
      </c>
      <c r="C131" s="140" t="s">
        <v>253</v>
      </c>
      <c r="D131" s="141"/>
      <c r="E131" s="141"/>
      <c r="F131" s="4" t="s">
        <v>308</v>
      </c>
      <c r="G131" s="68">
        <v>5</v>
      </c>
      <c r="H131" s="16">
        <v>0</v>
      </c>
      <c r="I131" s="16">
        <f>G131*AN131</f>
        <v>0</v>
      </c>
      <c r="J131" s="16">
        <f>G131*AO131</f>
        <v>0</v>
      </c>
      <c r="K131" s="16">
        <f>G131*H131</f>
        <v>0</v>
      </c>
      <c r="Y131" s="29">
        <f>IF(AP131="5",BI131,0)</f>
        <v>0</v>
      </c>
      <c r="AA131" s="29">
        <f>IF(AP131="1",BG131,0)</f>
        <v>0</v>
      </c>
      <c r="AB131" s="29">
        <f>IF(AP131="1",BH131,0)</f>
        <v>0</v>
      </c>
      <c r="AC131" s="29">
        <f>IF(AP131="7",BG131,0)</f>
        <v>0</v>
      </c>
      <c r="AD131" s="29">
        <f>IF(AP131="7",BH131,0)</f>
        <v>0</v>
      </c>
      <c r="AE131" s="29">
        <f>IF(AP131="2",BG131,0)</f>
        <v>0</v>
      </c>
      <c r="AF131" s="29">
        <f>IF(AP131="2",BH131,0)</f>
        <v>0</v>
      </c>
      <c r="AG131" s="29">
        <f>IF(AP131="0",BI131,0)</f>
        <v>0</v>
      </c>
      <c r="AH131" s="25"/>
      <c r="AI131" s="16">
        <f>IF(AM131=0,K131,0)</f>
        <v>0</v>
      </c>
      <c r="AJ131" s="16">
        <f>IF(AM131=15,K131,0)</f>
        <v>0</v>
      </c>
      <c r="AK131" s="16">
        <f>IF(AM131=21,K131,0)</f>
        <v>0</v>
      </c>
      <c r="AM131" s="29">
        <v>21</v>
      </c>
      <c r="AN131" s="29">
        <f>H131*0</f>
        <v>0</v>
      </c>
      <c r="AO131" s="29">
        <f>H131*(1-0)</f>
        <v>0</v>
      </c>
      <c r="AP131" s="24" t="s">
        <v>13</v>
      </c>
      <c r="AU131" s="29">
        <f>AV131+AW131</f>
        <v>0</v>
      </c>
      <c r="AV131" s="29">
        <f>G131*AN131</f>
        <v>0</v>
      </c>
      <c r="AW131" s="29">
        <f>G131*AO131</f>
        <v>0</v>
      </c>
      <c r="AX131" s="30" t="s">
        <v>333</v>
      </c>
      <c r="AY131" s="30" t="s">
        <v>335</v>
      </c>
      <c r="AZ131" s="25" t="s">
        <v>337</v>
      </c>
      <c r="BB131" s="29">
        <f>AV131+AW131</f>
        <v>0</v>
      </c>
      <c r="BC131" s="29">
        <f>H131/(100-BD131)*100</f>
        <v>0</v>
      </c>
      <c r="BD131" s="29">
        <v>0</v>
      </c>
      <c r="BE131" s="29">
        <f>131</f>
        <v>131</v>
      </c>
      <c r="BG131" s="16">
        <f>G131*AN131</f>
        <v>0</v>
      </c>
      <c r="BH131" s="16">
        <f>G131*AO131</f>
        <v>0</v>
      </c>
      <c r="BI131" s="16">
        <f>G131*H131</f>
        <v>0</v>
      </c>
    </row>
    <row r="132" spans="3:7" ht="12.75">
      <c r="C132" s="142" t="s">
        <v>232</v>
      </c>
      <c r="D132" s="143"/>
      <c r="E132" s="143"/>
      <c r="G132" s="69">
        <v>1</v>
      </c>
    </row>
    <row r="133" spans="3:7" ht="12.75">
      <c r="C133" s="142" t="s">
        <v>180</v>
      </c>
      <c r="D133" s="143"/>
      <c r="E133" s="143"/>
      <c r="G133" s="69">
        <v>1</v>
      </c>
    </row>
    <row r="134" spans="3:7" ht="12.75">
      <c r="C134" s="142" t="s">
        <v>181</v>
      </c>
      <c r="D134" s="143"/>
      <c r="E134" s="143"/>
      <c r="G134" s="69">
        <v>1</v>
      </c>
    </row>
    <row r="135" spans="3:7" ht="12.75">
      <c r="C135" s="142" t="s">
        <v>193</v>
      </c>
      <c r="D135" s="143"/>
      <c r="E135" s="143"/>
      <c r="G135" s="69">
        <v>2</v>
      </c>
    </row>
    <row r="136" spans="1:61" ht="12.75">
      <c r="A136" s="4" t="s">
        <v>50</v>
      </c>
      <c r="B136" s="4" t="s">
        <v>134</v>
      </c>
      <c r="C136" s="140" t="s">
        <v>254</v>
      </c>
      <c r="D136" s="141"/>
      <c r="E136" s="141"/>
      <c r="F136" s="4" t="s">
        <v>305</v>
      </c>
      <c r="G136" s="68">
        <v>4</v>
      </c>
      <c r="H136" s="16">
        <v>0</v>
      </c>
      <c r="I136" s="16">
        <f>G136*AN136</f>
        <v>0</v>
      </c>
      <c r="J136" s="16">
        <f>G136*AO136</f>
        <v>0</v>
      </c>
      <c r="K136" s="16">
        <f>G136*H136</f>
        <v>0</v>
      </c>
      <c r="Y136" s="29">
        <f>IF(AP136="5",BI136,0)</f>
        <v>0</v>
      </c>
      <c r="AA136" s="29">
        <f>IF(AP136="1",BG136,0)</f>
        <v>0</v>
      </c>
      <c r="AB136" s="29">
        <f>IF(AP136="1",BH136,0)</f>
        <v>0</v>
      </c>
      <c r="AC136" s="29">
        <f>IF(AP136="7",BG136,0)</f>
        <v>0</v>
      </c>
      <c r="AD136" s="29">
        <f>IF(AP136="7",BH136,0)</f>
        <v>0</v>
      </c>
      <c r="AE136" s="29">
        <f>IF(AP136="2",BG136,0)</f>
        <v>0</v>
      </c>
      <c r="AF136" s="29">
        <f>IF(AP136="2",BH136,0)</f>
        <v>0</v>
      </c>
      <c r="AG136" s="29">
        <f>IF(AP136="0",BI136,0)</f>
        <v>0</v>
      </c>
      <c r="AH136" s="25"/>
      <c r="AI136" s="16">
        <f>IF(AM136=0,K136,0)</f>
        <v>0</v>
      </c>
      <c r="AJ136" s="16">
        <f>IF(AM136=15,K136,0)</f>
        <v>0</v>
      </c>
      <c r="AK136" s="16">
        <f>IF(AM136=21,K136,0)</f>
        <v>0</v>
      </c>
      <c r="AM136" s="29">
        <v>21</v>
      </c>
      <c r="AN136" s="29">
        <f>H136*0</f>
        <v>0</v>
      </c>
      <c r="AO136" s="29">
        <f>H136*(1-0)</f>
        <v>0</v>
      </c>
      <c r="AP136" s="24" t="s">
        <v>13</v>
      </c>
      <c r="AU136" s="29">
        <f>AV136+AW136</f>
        <v>0</v>
      </c>
      <c r="AV136" s="29">
        <f>G136*AN136</f>
        <v>0</v>
      </c>
      <c r="AW136" s="29">
        <f>G136*AO136</f>
        <v>0</v>
      </c>
      <c r="AX136" s="30" t="s">
        <v>333</v>
      </c>
      <c r="AY136" s="30" t="s">
        <v>335</v>
      </c>
      <c r="AZ136" s="25" t="s">
        <v>337</v>
      </c>
      <c r="BB136" s="29">
        <f>AV136+AW136</f>
        <v>0</v>
      </c>
      <c r="BC136" s="29">
        <f>H136/(100-BD136)*100</f>
        <v>0</v>
      </c>
      <c r="BD136" s="29">
        <v>0</v>
      </c>
      <c r="BE136" s="29">
        <f>136</f>
        <v>136</v>
      </c>
      <c r="BG136" s="16">
        <f>G136*AN136</f>
        <v>0</v>
      </c>
      <c r="BH136" s="16">
        <f>G136*AO136</f>
        <v>0</v>
      </c>
      <c r="BI136" s="16">
        <f>G136*H136</f>
        <v>0</v>
      </c>
    </row>
    <row r="137" spans="3:7" ht="12.75">
      <c r="C137" s="142" t="s">
        <v>211</v>
      </c>
      <c r="D137" s="143"/>
      <c r="E137" s="143"/>
      <c r="G137" s="69">
        <v>2</v>
      </c>
    </row>
    <row r="138" spans="3:7" ht="12.75">
      <c r="C138" s="142" t="s">
        <v>180</v>
      </c>
      <c r="D138" s="143"/>
      <c r="E138" s="143"/>
      <c r="G138" s="69">
        <v>1</v>
      </c>
    </row>
    <row r="139" spans="3:7" ht="12.75">
      <c r="C139" s="142" t="s">
        <v>181</v>
      </c>
      <c r="D139" s="143"/>
      <c r="E139" s="143"/>
      <c r="G139" s="69">
        <v>1</v>
      </c>
    </row>
    <row r="140" spans="1:61" ht="12.75">
      <c r="A140" s="4" t="s">
        <v>51</v>
      </c>
      <c r="B140" s="4" t="s">
        <v>135</v>
      </c>
      <c r="C140" s="140" t="s">
        <v>255</v>
      </c>
      <c r="D140" s="141"/>
      <c r="E140" s="141"/>
      <c r="F140" s="4" t="s">
        <v>308</v>
      </c>
      <c r="G140" s="68">
        <v>4</v>
      </c>
      <c r="H140" s="16">
        <v>0</v>
      </c>
      <c r="I140" s="16">
        <f>G140*AN140</f>
        <v>0</v>
      </c>
      <c r="J140" s="16">
        <f>G140*AO140</f>
        <v>0</v>
      </c>
      <c r="K140" s="16">
        <f>G140*H140</f>
        <v>0</v>
      </c>
      <c r="Y140" s="29">
        <f>IF(AP140="5",BI140,0)</f>
        <v>0</v>
      </c>
      <c r="AA140" s="29">
        <f>IF(AP140="1",BG140,0)</f>
        <v>0</v>
      </c>
      <c r="AB140" s="29">
        <f>IF(AP140="1",BH140,0)</f>
        <v>0</v>
      </c>
      <c r="AC140" s="29">
        <f>IF(AP140="7",BG140,0)</f>
        <v>0</v>
      </c>
      <c r="AD140" s="29">
        <f>IF(AP140="7",BH140,0)</f>
        <v>0</v>
      </c>
      <c r="AE140" s="29">
        <f>IF(AP140="2",BG140,0)</f>
        <v>0</v>
      </c>
      <c r="AF140" s="29">
        <f>IF(AP140="2",BH140,0)</f>
        <v>0</v>
      </c>
      <c r="AG140" s="29">
        <f>IF(AP140="0",BI140,0)</f>
        <v>0</v>
      </c>
      <c r="AH140" s="25"/>
      <c r="AI140" s="16">
        <f>IF(AM140=0,K140,0)</f>
        <v>0</v>
      </c>
      <c r="AJ140" s="16">
        <f>IF(AM140=15,K140,0)</f>
        <v>0</v>
      </c>
      <c r="AK140" s="16">
        <f>IF(AM140=21,K140,0)</f>
        <v>0</v>
      </c>
      <c r="AM140" s="29">
        <v>21</v>
      </c>
      <c r="AN140" s="29">
        <f>H140*0.218894778301446</f>
        <v>0</v>
      </c>
      <c r="AO140" s="29">
        <f>H140*(1-0.218894778301446)</f>
        <v>0</v>
      </c>
      <c r="AP140" s="24" t="s">
        <v>13</v>
      </c>
      <c r="AU140" s="29">
        <f>AV140+AW140</f>
        <v>0</v>
      </c>
      <c r="AV140" s="29">
        <f>G140*AN140</f>
        <v>0</v>
      </c>
      <c r="AW140" s="29">
        <f>G140*AO140</f>
        <v>0</v>
      </c>
      <c r="AX140" s="30" t="s">
        <v>333</v>
      </c>
      <c r="AY140" s="30" t="s">
        <v>335</v>
      </c>
      <c r="AZ140" s="25" t="s">
        <v>337</v>
      </c>
      <c r="BB140" s="29">
        <f>AV140+AW140</f>
        <v>0</v>
      </c>
      <c r="BC140" s="29">
        <f>H140/(100-BD140)*100</f>
        <v>0</v>
      </c>
      <c r="BD140" s="29">
        <v>0</v>
      </c>
      <c r="BE140" s="29">
        <f>140</f>
        <v>140</v>
      </c>
      <c r="BG140" s="16">
        <f>G140*AN140</f>
        <v>0</v>
      </c>
      <c r="BH140" s="16">
        <f>G140*AO140</f>
        <v>0</v>
      </c>
      <c r="BI140" s="16">
        <f>G140*H140</f>
        <v>0</v>
      </c>
    </row>
    <row r="141" spans="3:7" ht="12.75">
      <c r="C141" s="142" t="s">
        <v>232</v>
      </c>
      <c r="D141" s="143"/>
      <c r="E141" s="143"/>
      <c r="G141" s="69">
        <v>1</v>
      </c>
    </row>
    <row r="142" spans="3:7" ht="12.75">
      <c r="C142" s="142" t="s">
        <v>202</v>
      </c>
      <c r="D142" s="143"/>
      <c r="E142" s="143"/>
      <c r="G142" s="69">
        <v>3</v>
      </c>
    </row>
    <row r="143" spans="1:61" ht="12.75">
      <c r="A143" s="4" t="s">
        <v>52</v>
      </c>
      <c r="B143" s="4" t="s">
        <v>136</v>
      </c>
      <c r="C143" s="140" t="s">
        <v>256</v>
      </c>
      <c r="D143" s="141"/>
      <c r="E143" s="141"/>
      <c r="F143" s="4" t="s">
        <v>308</v>
      </c>
      <c r="G143" s="68">
        <v>5</v>
      </c>
      <c r="H143" s="16">
        <v>0</v>
      </c>
      <c r="I143" s="16">
        <f>G143*AN143</f>
        <v>0</v>
      </c>
      <c r="J143" s="16">
        <f>G143*AO143</f>
        <v>0</v>
      </c>
      <c r="K143" s="16">
        <f>G143*H143</f>
        <v>0</v>
      </c>
      <c r="Y143" s="29">
        <f>IF(AP143="5",BI143,0)</f>
        <v>0</v>
      </c>
      <c r="AA143" s="29">
        <f>IF(AP143="1",BG143,0)</f>
        <v>0</v>
      </c>
      <c r="AB143" s="29">
        <f>IF(AP143="1",BH143,0)</f>
        <v>0</v>
      </c>
      <c r="AC143" s="29">
        <f>IF(AP143="7",BG143,0)</f>
        <v>0</v>
      </c>
      <c r="AD143" s="29">
        <f>IF(AP143="7",BH143,0)</f>
        <v>0</v>
      </c>
      <c r="AE143" s="29">
        <f>IF(AP143="2",BG143,0)</f>
        <v>0</v>
      </c>
      <c r="AF143" s="29">
        <f>IF(AP143="2",BH143,0)</f>
        <v>0</v>
      </c>
      <c r="AG143" s="29">
        <f>IF(AP143="0",BI143,0)</f>
        <v>0</v>
      </c>
      <c r="AH143" s="25"/>
      <c r="AI143" s="16">
        <f>IF(AM143=0,K143,0)</f>
        <v>0</v>
      </c>
      <c r="AJ143" s="16">
        <f>IF(AM143=15,K143,0)</f>
        <v>0</v>
      </c>
      <c r="AK143" s="16">
        <f>IF(AM143=21,K143,0)</f>
        <v>0</v>
      </c>
      <c r="AM143" s="29">
        <v>21</v>
      </c>
      <c r="AN143" s="29">
        <f>H143*0.114926108374384</f>
        <v>0</v>
      </c>
      <c r="AO143" s="29">
        <f>H143*(1-0.114926108374384)</f>
        <v>0</v>
      </c>
      <c r="AP143" s="24" t="s">
        <v>13</v>
      </c>
      <c r="AU143" s="29">
        <f>AV143+AW143</f>
        <v>0</v>
      </c>
      <c r="AV143" s="29">
        <f>G143*AN143</f>
        <v>0</v>
      </c>
      <c r="AW143" s="29">
        <f>G143*AO143</f>
        <v>0</v>
      </c>
      <c r="AX143" s="30" t="s">
        <v>333</v>
      </c>
      <c r="AY143" s="30" t="s">
        <v>335</v>
      </c>
      <c r="AZ143" s="25" t="s">
        <v>337</v>
      </c>
      <c r="BB143" s="29">
        <f>AV143+AW143</f>
        <v>0</v>
      </c>
      <c r="BC143" s="29">
        <f>H143/(100-BD143)*100</f>
        <v>0</v>
      </c>
      <c r="BD143" s="29">
        <v>0</v>
      </c>
      <c r="BE143" s="29">
        <f>143</f>
        <v>143</v>
      </c>
      <c r="BG143" s="16">
        <f>G143*AN143</f>
        <v>0</v>
      </c>
      <c r="BH143" s="16">
        <f>G143*AO143</f>
        <v>0</v>
      </c>
      <c r="BI143" s="16">
        <f>G143*H143</f>
        <v>0</v>
      </c>
    </row>
    <row r="144" spans="3:7" ht="12.75">
      <c r="C144" s="142" t="s">
        <v>232</v>
      </c>
      <c r="D144" s="143"/>
      <c r="E144" s="143"/>
      <c r="G144" s="69">
        <v>1</v>
      </c>
    </row>
    <row r="145" spans="3:7" ht="12.75">
      <c r="C145" s="142" t="s">
        <v>257</v>
      </c>
      <c r="D145" s="143"/>
      <c r="E145" s="143"/>
      <c r="G145" s="69">
        <v>1</v>
      </c>
    </row>
    <row r="146" spans="3:7" ht="12.75">
      <c r="C146" s="142" t="s">
        <v>181</v>
      </c>
      <c r="D146" s="143"/>
      <c r="E146" s="143"/>
      <c r="G146" s="69">
        <v>1</v>
      </c>
    </row>
    <row r="147" spans="3:7" ht="12.75">
      <c r="C147" s="142" t="s">
        <v>193</v>
      </c>
      <c r="D147" s="143"/>
      <c r="E147" s="143"/>
      <c r="G147" s="69">
        <v>2</v>
      </c>
    </row>
    <row r="148" spans="1:61" ht="12.75">
      <c r="A148" s="4" t="s">
        <v>53</v>
      </c>
      <c r="B148" s="4" t="s">
        <v>137</v>
      </c>
      <c r="C148" s="140" t="s">
        <v>258</v>
      </c>
      <c r="D148" s="141"/>
      <c r="E148" s="141"/>
      <c r="F148" s="4" t="s">
        <v>308</v>
      </c>
      <c r="G148" s="68">
        <v>2</v>
      </c>
      <c r="H148" s="16">
        <v>0</v>
      </c>
      <c r="I148" s="16">
        <f>G148*AN148</f>
        <v>0</v>
      </c>
      <c r="J148" s="16">
        <f>G148*AO148</f>
        <v>0</v>
      </c>
      <c r="K148" s="16">
        <f>G148*H148</f>
        <v>0</v>
      </c>
      <c r="Y148" s="29">
        <f>IF(AP148="5",BI148,0)</f>
        <v>0</v>
      </c>
      <c r="AA148" s="29">
        <f>IF(AP148="1",BG148,0)</f>
        <v>0</v>
      </c>
      <c r="AB148" s="29">
        <f>IF(AP148="1",BH148,0)</f>
        <v>0</v>
      </c>
      <c r="AC148" s="29">
        <f>IF(AP148="7",BG148,0)</f>
        <v>0</v>
      </c>
      <c r="AD148" s="29">
        <f>IF(AP148="7",BH148,0)</f>
        <v>0</v>
      </c>
      <c r="AE148" s="29">
        <f>IF(AP148="2",BG148,0)</f>
        <v>0</v>
      </c>
      <c r="AF148" s="29">
        <f>IF(AP148="2",BH148,0)</f>
        <v>0</v>
      </c>
      <c r="AG148" s="29">
        <f>IF(AP148="0",BI148,0)</f>
        <v>0</v>
      </c>
      <c r="AH148" s="25"/>
      <c r="AI148" s="16">
        <f>IF(AM148=0,K148,0)</f>
        <v>0</v>
      </c>
      <c r="AJ148" s="16">
        <f>IF(AM148=15,K148,0)</f>
        <v>0</v>
      </c>
      <c r="AK148" s="16">
        <f>IF(AM148=21,K148,0)</f>
        <v>0</v>
      </c>
      <c r="AM148" s="29">
        <v>21</v>
      </c>
      <c r="AN148" s="29">
        <f>H148*0.282838283828383</f>
        <v>0</v>
      </c>
      <c r="AO148" s="29">
        <f>H148*(1-0.282838283828383)</f>
        <v>0</v>
      </c>
      <c r="AP148" s="24" t="s">
        <v>13</v>
      </c>
      <c r="AU148" s="29">
        <f>AV148+AW148</f>
        <v>0</v>
      </c>
      <c r="AV148" s="29">
        <f>G148*AN148</f>
        <v>0</v>
      </c>
      <c r="AW148" s="29">
        <f>G148*AO148</f>
        <v>0</v>
      </c>
      <c r="AX148" s="30" t="s">
        <v>333</v>
      </c>
      <c r="AY148" s="30" t="s">
        <v>335</v>
      </c>
      <c r="AZ148" s="25" t="s">
        <v>337</v>
      </c>
      <c r="BB148" s="29">
        <f>AV148+AW148</f>
        <v>0</v>
      </c>
      <c r="BC148" s="29">
        <f>H148/(100-BD148)*100</f>
        <v>0</v>
      </c>
      <c r="BD148" s="29">
        <v>0</v>
      </c>
      <c r="BE148" s="29">
        <f>148</f>
        <v>148</v>
      </c>
      <c r="BG148" s="16">
        <f>G148*AN148</f>
        <v>0</v>
      </c>
      <c r="BH148" s="16">
        <f>G148*AO148</f>
        <v>0</v>
      </c>
      <c r="BI148" s="16">
        <f>G148*H148</f>
        <v>0</v>
      </c>
    </row>
    <row r="149" spans="3:7" ht="12.75">
      <c r="C149" s="142" t="s">
        <v>232</v>
      </c>
      <c r="D149" s="143"/>
      <c r="E149" s="143"/>
      <c r="G149" s="69">
        <v>1</v>
      </c>
    </row>
    <row r="150" spans="3:7" ht="12.75">
      <c r="C150" s="142" t="s">
        <v>180</v>
      </c>
      <c r="D150" s="143"/>
      <c r="E150" s="143"/>
      <c r="G150" s="69">
        <v>1</v>
      </c>
    </row>
    <row r="151" spans="1:61" ht="12.75">
      <c r="A151" s="4" t="s">
        <v>54</v>
      </c>
      <c r="B151" s="4" t="s">
        <v>138</v>
      </c>
      <c r="C151" s="140" t="s">
        <v>259</v>
      </c>
      <c r="D151" s="141"/>
      <c r="E151" s="141"/>
      <c r="F151" s="4" t="s">
        <v>305</v>
      </c>
      <c r="G151" s="68">
        <v>3</v>
      </c>
      <c r="H151" s="16">
        <v>0</v>
      </c>
      <c r="I151" s="16">
        <f>G151*AN151</f>
        <v>0</v>
      </c>
      <c r="J151" s="16">
        <f>G151*AO151</f>
        <v>0</v>
      </c>
      <c r="K151" s="16">
        <f>G151*H151</f>
        <v>0</v>
      </c>
      <c r="Y151" s="29">
        <f>IF(AP151="5",BI151,0)</f>
        <v>0</v>
      </c>
      <c r="AA151" s="29">
        <f>IF(AP151="1",BG151,0)</f>
        <v>0</v>
      </c>
      <c r="AB151" s="29">
        <f>IF(AP151="1",BH151,0)</f>
        <v>0</v>
      </c>
      <c r="AC151" s="29">
        <f>IF(AP151="7",BG151,0)</f>
        <v>0</v>
      </c>
      <c r="AD151" s="29">
        <f>IF(AP151="7",BH151,0)</f>
        <v>0</v>
      </c>
      <c r="AE151" s="29">
        <f>IF(AP151="2",BG151,0)</f>
        <v>0</v>
      </c>
      <c r="AF151" s="29">
        <f>IF(AP151="2",BH151,0)</f>
        <v>0</v>
      </c>
      <c r="AG151" s="29">
        <f>IF(AP151="0",BI151,0)</f>
        <v>0</v>
      </c>
      <c r="AH151" s="25"/>
      <c r="AI151" s="16">
        <f>IF(AM151=0,K151,0)</f>
        <v>0</v>
      </c>
      <c r="AJ151" s="16">
        <f>IF(AM151=15,K151,0)</f>
        <v>0</v>
      </c>
      <c r="AK151" s="16">
        <f>IF(AM151=21,K151,0)</f>
        <v>0</v>
      </c>
      <c r="AM151" s="29">
        <v>21</v>
      </c>
      <c r="AN151" s="29">
        <f>H151*0.652171344165436</f>
        <v>0</v>
      </c>
      <c r="AO151" s="29">
        <f>H151*(1-0.652171344165436)</f>
        <v>0</v>
      </c>
      <c r="AP151" s="24" t="s">
        <v>13</v>
      </c>
      <c r="AU151" s="29">
        <f>AV151+AW151</f>
        <v>0</v>
      </c>
      <c r="AV151" s="29">
        <f>G151*AN151</f>
        <v>0</v>
      </c>
      <c r="AW151" s="29">
        <f>G151*AO151</f>
        <v>0</v>
      </c>
      <c r="AX151" s="30" t="s">
        <v>333</v>
      </c>
      <c r="AY151" s="30" t="s">
        <v>335</v>
      </c>
      <c r="AZ151" s="25" t="s">
        <v>337</v>
      </c>
      <c r="BB151" s="29">
        <f>AV151+AW151</f>
        <v>0</v>
      </c>
      <c r="BC151" s="29">
        <f>H151/(100-BD151)*100</f>
        <v>0</v>
      </c>
      <c r="BD151" s="29">
        <v>0</v>
      </c>
      <c r="BE151" s="29">
        <f>151</f>
        <v>151</v>
      </c>
      <c r="BG151" s="16">
        <f>G151*AN151</f>
        <v>0</v>
      </c>
      <c r="BH151" s="16">
        <f>G151*AO151</f>
        <v>0</v>
      </c>
      <c r="BI151" s="16">
        <f>G151*H151</f>
        <v>0</v>
      </c>
    </row>
    <row r="152" spans="3:7" ht="12.75">
      <c r="C152" s="142" t="s">
        <v>232</v>
      </c>
      <c r="D152" s="143"/>
      <c r="E152" s="143"/>
      <c r="G152" s="69">
        <v>1</v>
      </c>
    </row>
    <row r="153" spans="3:7" ht="12.75">
      <c r="C153" s="142" t="s">
        <v>180</v>
      </c>
      <c r="D153" s="143"/>
      <c r="E153" s="143"/>
      <c r="G153" s="69">
        <v>1</v>
      </c>
    </row>
    <row r="154" spans="3:7" ht="12.75">
      <c r="C154" s="142" t="s">
        <v>181</v>
      </c>
      <c r="D154" s="143"/>
      <c r="E154" s="143"/>
      <c r="G154" s="69">
        <v>1</v>
      </c>
    </row>
    <row r="155" spans="1:61" ht="12.75">
      <c r="A155" s="4" t="s">
        <v>55</v>
      </c>
      <c r="B155" s="4" t="s">
        <v>139</v>
      </c>
      <c r="C155" s="140" t="s">
        <v>260</v>
      </c>
      <c r="D155" s="141"/>
      <c r="E155" s="141"/>
      <c r="F155" s="4" t="s">
        <v>308</v>
      </c>
      <c r="G155" s="68">
        <v>1</v>
      </c>
      <c r="H155" s="16">
        <v>0</v>
      </c>
      <c r="I155" s="16">
        <f>G155*AN155</f>
        <v>0</v>
      </c>
      <c r="J155" s="16">
        <f>G155*AO155</f>
        <v>0</v>
      </c>
      <c r="K155" s="16">
        <f>G155*H155</f>
        <v>0</v>
      </c>
      <c r="Y155" s="29">
        <f>IF(AP155="5",BI155,0)</f>
        <v>0</v>
      </c>
      <c r="AA155" s="29">
        <f>IF(AP155="1",BG155,0)</f>
        <v>0</v>
      </c>
      <c r="AB155" s="29">
        <f>IF(AP155="1",BH155,0)</f>
        <v>0</v>
      </c>
      <c r="AC155" s="29">
        <f>IF(AP155="7",BG155,0)</f>
        <v>0</v>
      </c>
      <c r="AD155" s="29">
        <f>IF(AP155="7",BH155,0)</f>
        <v>0</v>
      </c>
      <c r="AE155" s="29">
        <f>IF(AP155="2",BG155,0)</f>
        <v>0</v>
      </c>
      <c r="AF155" s="29">
        <f>IF(AP155="2",BH155,0)</f>
        <v>0</v>
      </c>
      <c r="AG155" s="29">
        <f>IF(AP155="0",BI155,0)</f>
        <v>0</v>
      </c>
      <c r="AH155" s="25"/>
      <c r="AI155" s="16">
        <f>IF(AM155=0,K155,0)</f>
        <v>0</v>
      </c>
      <c r="AJ155" s="16">
        <f>IF(AM155=15,K155,0)</f>
        <v>0</v>
      </c>
      <c r="AK155" s="16">
        <f>IF(AM155=21,K155,0)</f>
        <v>0</v>
      </c>
      <c r="AM155" s="29">
        <v>21</v>
      </c>
      <c r="AN155" s="29">
        <f>H155*0.336692913385827</f>
        <v>0</v>
      </c>
      <c r="AO155" s="29">
        <f>H155*(1-0.336692913385827)</f>
        <v>0</v>
      </c>
      <c r="AP155" s="24" t="s">
        <v>13</v>
      </c>
      <c r="AU155" s="29">
        <f>AV155+AW155</f>
        <v>0</v>
      </c>
      <c r="AV155" s="29">
        <f>G155*AN155</f>
        <v>0</v>
      </c>
      <c r="AW155" s="29">
        <f>G155*AO155</f>
        <v>0</v>
      </c>
      <c r="AX155" s="30" t="s">
        <v>333</v>
      </c>
      <c r="AY155" s="30" t="s">
        <v>335</v>
      </c>
      <c r="AZ155" s="25" t="s">
        <v>337</v>
      </c>
      <c r="BB155" s="29">
        <f>AV155+AW155</f>
        <v>0</v>
      </c>
      <c r="BC155" s="29">
        <f>H155/(100-BD155)*100</f>
        <v>0</v>
      </c>
      <c r="BD155" s="29">
        <v>0</v>
      </c>
      <c r="BE155" s="29">
        <f>155</f>
        <v>155</v>
      </c>
      <c r="BG155" s="16">
        <f>G155*AN155</f>
        <v>0</v>
      </c>
      <c r="BH155" s="16">
        <f>G155*AO155</f>
        <v>0</v>
      </c>
      <c r="BI155" s="16">
        <f>G155*H155</f>
        <v>0</v>
      </c>
    </row>
    <row r="156" spans="3:7" ht="12.75">
      <c r="C156" s="142" t="s">
        <v>179</v>
      </c>
      <c r="D156" s="143"/>
      <c r="E156" s="143"/>
      <c r="G156" s="69">
        <v>1</v>
      </c>
    </row>
    <row r="157" spans="1:61" ht="12.75">
      <c r="A157" s="6" t="s">
        <v>56</v>
      </c>
      <c r="B157" s="6" t="s">
        <v>140</v>
      </c>
      <c r="C157" s="149" t="s">
        <v>261</v>
      </c>
      <c r="D157" s="150"/>
      <c r="E157" s="150"/>
      <c r="F157" s="6" t="s">
        <v>305</v>
      </c>
      <c r="G157" s="70">
        <v>4</v>
      </c>
      <c r="H157" s="17">
        <v>0</v>
      </c>
      <c r="I157" s="17">
        <f>G157*AN157</f>
        <v>0</v>
      </c>
      <c r="J157" s="17">
        <f>G157*AO157</f>
        <v>0</v>
      </c>
      <c r="K157" s="17">
        <f>G157*H157</f>
        <v>0</v>
      </c>
      <c r="Y157" s="29">
        <f>IF(AP157="5",BI157,0)</f>
        <v>0</v>
      </c>
      <c r="AA157" s="29">
        <f>IF(AP157="1",BG157,0)</f>
        <v>0</v>
      </c>
      <c r="AB157" s="29">
        <f>IF(AP157="1",BH157,0)</f>
        <v>0</v>
      </c>
      <c r="AC157" s="29">
        <f>IF(AP157="7",BG157,0)</f>
        <v>0</v>
      </c>
      <c r="AD157" s="29">
        <f>IF(AP157="7",BH157,0)</f>
        <v>0</v>
      </c>
      <c r="AE157" s="29">
        <f>IF(AP157="2",BG157,0)</f>
        <v>0</v>
      </c>
      <c r="AF157" s="29">
        <f>IF(AP157="2",BH157,0)</f>
        <v>0</v>
      </c>
      <c r="AG157" s="29">
        <f>IF(AP157="0",BI157,0)</f>
        <v>0</v>
      </c>
      <c r="AH157" s="25"/>
      <c r="AI157" s="17">
        <f>IF(AM157=0,K157,0)</f>
        <v>0</v>
      </c>
      <c r="AJ157" s="17">
        <f>IF(AM157=15,K157,0)</f>
        <v>0</v>
      </c>
      <c r="AK157" s="17">
        <f>IF(AM157=21,K157,0)</f>
        <v>0</v>
      </c>
      <c r="AM157" s="29">
        <v>21</v>
      </c>
      <c r="AN157" s="29">
        <f>H157*1</f>
        <v>0</v>
      </c>
      <c r="AO157" s="29">
        <f>H157*(1-1)</f>
        <v>0</v>
      </c>
      <c r="AP157" s="26" t="s">
        <v>13</v>
      </c>
      <c r="AU157" s="29">
        <f>AV157+AW157</f>
        <v>0</v>
      </c>
      <c r="AV157" s="29">
        <f>G157*AN157</f>
        <v>0</v>
      </c>
      <c r="AW157" s="29">
        <f>G157*AO157</f>
        <v>0</v>
      </c>
      <c r="AX157" s="30" t="s">
        <v>333</v>
      </c>
      <c r="AY157" s="30" t="s">
        <v>335</v>
      </c>
      <c r="AZ157" s="25" t="s">
        <v>337</v>
      </c>
      <c r="BB157" s="29">
        <f>AV157+AW157</f>
        <v>0</v>
      </c>
      <c r="BC157" s="29">
        <f>H157/(100-BD157)*100</f>
        <v>0</v>
      </c>
      <c r="BD157" s="29">
        <v>0</v>
      </c>
      <c r="BE157" s="29">
        <f>157</f>
        <v>157</v>
      </c>
      <c r="BG157" s="17">
        <f>G157*AN157</f>
        <v>0</v>
      </c>
      <c r="BH157" s="17">
        <f>G157*AO157</f>
        <v>0</v>
      </c>
      <c r="BI157" s="17">
        <f>G157*H157</f>
        <v>0</v>
      </c>
    </row>
    <row r="158" spans="3:7" ht="12.75">
      <c r="C158" s="142" t="s">
        <v>232</v>
      </c>
      <c r="D158" s="143"/>
      <c r="E158" s="143"/>
      <c r="G158" s="69">
        <v>1</v>
      </c>
    </row>
    <row r="159" spans="3:7" ht="12.75">
      <c r="C159" s="142" t="s">
        <v>202</v>
      </c>
      <c r="D159" s="143"/>
      <c r="E159" s="143"/>
      <c r="G159" s="69">
        <v>3</v>
      </c>
    </row>
    <row r="160" spans="1:61" ht="12.75">
      <c r="A160" s="4" t="s">
        <v>57</v>
      </c>
      <c r="B160" s="4" t="s">
        <v>141</v>
      </c>
      <c r="C160" s="140" t="s">
        <v>262</v>
      </c>
      <c r="D160" s="141"/>
      <c r="E160" s="141"/>
      <c r="F160" s="4" t="s">
        <v>308</v>
      </c>
      <c r="G160" s="68">
        <v>3</v>
      </c>
      <c r="H160" s="16">
        <v>0</v>
      </c>
      <c r="I160" s="16">
        <f>G160*AN160</f>
        <v>0</v>
      </c>
      <c r="J160" s="16">
        <f>G160*AO160</f>
        <v>0</v>
      </c>
      <c r="K160" s="16">
        <f>G160*H160</f>
        <v>0</v>
      </c>
      <c r="Y160" s="29">
        <f>IF(AP160="5",BI160,0)</f>
        <v>0</v>
      </c>
      <c r="AA160" s="29">
        <f>IF(AP160="1",BG160,0)</f>
        <v>0</v>
      </c>
      <c r="AB160" s="29">
        <f>IF(AP160="1",BH160,0)</f>
        <v>0</v>
      </c>
      <c r="AC160" s="29">
        <f>IF(AP160="7",BG160,0)</f>
        <v>0</v>
      </c>
      <c r="AD160" s="29">
        <f>IF(AP160="7",BH160,0)</f>
        <v>0</v>
      </c>
      <c r="AE160" s="29">
        <f>IF(AP160="2",BG160,0)</f>
        <v>0</v>
      </c>
      <c r="AF160" s="29">
        <f>IF(AP160="2",BH160,0)</f>
        <v>0</v>
      </c>
      <c r="AG160" s="29">
        <f>IF(AP160="0",BI160,0)</f>
        <v>0</v>
      </c>
      <c r="AH160" s="25"/>
      <c r="AI160" s="16">
        <f>IF(AM160=0,K160,0)</f>
        <v>0</v>
      </c>
      <c r="AJ160" s="16">
        <f>IF(AM160=15,K160,0)</f>
        <v>0</v>
      </c>
      <c r="AK160" s="16">
        <f>IF(AM160=21,K160,0)</f>
        <v>0</v>
      </c>
      <c r="AM160" s="29">
        <v>21</v>
      </c>
      <c r="AN160" s="29">
        <f>H160*0.946015533980582</f>
        <v>0</v>
      </c>
      <c r="AO160" s="29">
        <f>H160*(1-0.946015533980582)</f>
        <v>0</v>
      </c>
      <c r="AP160" s="24" t="s">
        <v>13</v>
      </c>
      <c r="AU160" s="29">
        <f>AV160+AW160</f>
        <v>0</v>
      </c>
      <c r="AV160" s="29">
        <f>G160*AN160</f>
        <v>0</v>
      </c>
      <c r="AW160" s="29">
        <f>G160*AO160</f>
        <v>0</v>
      </c>
      <c r="AX160" s="30" t="s">
        <v>333</v>
      </c>
      <c r="AY160" s="30" t="s">
        <v>335</v>
      </c>
      <c r="AZ160" s="25" t="s">
        <v>337</v>
      </c>
      <c r="BB160" s="29">
        <f>AV160+AW160</f>
        <v>0</v>
      </c>
      <c r="BC160" s="29">
        <f>H160/(100-BD160)*100</f>
        <v>0</v>
      </c>
      <c r="BD160" s="29">
        <v>0</v>
      </c>
      <c r="BE160" s="29">
        <f>160</f>
        <v>160</v>
      </c>
      <c r="BG160" s="16">
        <f>G160*AN160</f>
        <v>0</v>
      </c>
      <c r="BH160" s="16">
        <f>G160*AO160</f>
        <v>0</v>
      </c>
      <c r="BI160" s="16">
        <f>G160*H160</f>
        <v>0</v>
      </c>
    </row>
    <row r="161" spans="3:5" ht="12.75">
      <c r="C161" s="151" t="s">
        <v>263</v>
      </c>
      <c r="D161" s="152"/>
      <c r="E161" s="152"/>
    </row>
    <row r="162" spans="3:7" ht="12.75">
      <c r="C162" s="142" t="s">
        <v>232</v>
      </c>
      <c r="D162" s="143"/>
      <c r="E162" s="143"/>
      <c r="G162" s="69">
        <v>1</v>
      </c>
    </row>
    <row r="163" spans="3:7" ht="12.75">
      <c r="C163" s="142" t="s">
        <v>257</v>
      </c>
      <c r="D163" s="143"/>
      <c r="E163" s="143"/>
      <c r="G163" s="69">
        <v>1</v>
      </c>
    </row>
    <row r="164" spans="3:7" ht="12.75">
      <c r="C164" s="142" t="s">
        <v>181</v>
      </c>
      <c r="D164" s="143"/>
      <c r="E164" s="143"/>
      <c r="G164" s="69">
        <v>1</v>
      </c>
    </row>
    <row r="165" spans="1:61" ht="12.75">
      <c r="A165" s="4" t="s">
        <v>58</v>
      </c>
      <c r="B165" s="4" t="s">
        <v>142</v>
      </c>
      <c r="C165" s="140" t="s">
        <v>264</v>
      </c>
      <c r="D165" s="141"/>
      <c r="E165" s="141"/>
      <c r="F165" s="4" t="s">
        <v>308</v>
      </c>
      <c r="G165" s="68">
        <v>5</v>
      </c>
      <c r="H165" s="16">
        <v>0</v>
      </c>
      <c r="I165" s="16">
        <f>G165*AN165</f>
        <v>0</v>
      </c>
      <c r="J165" s="16">
        <f>G165*AO165</f>
        <v>0</v>
      </c>
      <c r="K165" s="16">
        <f>G165*H165</f>
        <v>0</v>
      </c>
      <c r="Y165" s="29">
        <f>IF(AP165="5",BI165,0)</f>
        <v>0</v>
      </c>
      <c r="AA165" s="29">
        <f>IF(AP165="1",BG165,0)</f>
        <v>0</v>
      </c>
      <c r="AB165" s="29">
        <f>IF(AP165="1",BH165,0)</f>
        <v>0</v>
      </c>
      <c r="AC165" s="29">
        <f>IF(AP165="7",BG165,0)</f>
        <v>0</v>
      </c>
      <c r="AD165" s="29">
        <f>IF(AP165="7",BH165,0)</f>
        <v>0</v>
      </c>
      <c r="AE165" s="29">
        <f>IF(AP165="2",BG165,0)</f>
        <v>0</v>
      </c>
      <c r="AF165" s="29">
        <f>IF(AP165="2",BH165,0)</f>
        <v>0</v>
      </c>
      <c r="AG165" s="29">
        <f>IF(AP165="0",BI165,0)</f>
        <v>0</v>
      </c>
      <c r="AH165" s="25"/>
      <c r="AI165" s="16">
        <f>IF(AM165=0,K165,0)</f>
        <v>0</v>
      </c>
      <c r="AJ165" s="16">
        <f>IF(AM165=15,K165,0)</f>
        <v>0</v>
      </c>
      <c r="AK165" s="16">
        <f>IF(AM165=21,K165,0)</f>
        <v>0</v>
      </c>
      <c r="AM165" s="29">
        <v>21</v>
      </c>
      <c r="AN165" s="29">
        <f>H165*0</f>
        <v>0</v>
      </c>
      <c r="AO165" s="29">
        <f>H165*(1-0)</f>
        <v>0</v>
      </c>
      <c r="AP165" s="24" t="s">
        <v>13</v>
      </c>
      <c r="AU165" s="29">
        <f>AV165+AW165</f>
        <v>0</v>
      </c>
      <c r="AV165" s="29">
        <f>G165*AN165</f>
        <v>0</v>
      </c>
      <c r="AW165" s="29">
        <f>G165*AO165</f>
        <v>0</v>
      </c>
      <c r="AX165" s="30" t="s">
        <v>333</v>
      </c>
      <c r="AY165" s="30" t="s">
        <v>335</v>
      </c>
      <c r="AZ165" s="25" t="s">
        <v>337</v>
      </c>
      <c r="BB165" s="29">
        <f>AV165+AW165</f>
        <v>0</v>
      </c>
      <c r="BC165" s="29">
        <f>H165/(100-BD165)*100</f>
        <v>0</v>
      </c>
      <c r="BD165" s="29">
        <v>0</v>
      </c>
      <c r="BE165" s="29">
        <f>165</f>
        <v>165</v>
      </c>
      <c r="BG165" s="16">
        <f>G165*AN165</f>
        <v>0</v>
      </c>
      <c r="BH165" s="16">
        <f>G165*AO165</f>
        <v>0</v>
      </c>
      <c r="BI165" s="16">
        <f>G165*H165</f>
        <v>0</v>
      </c>
    </row>
    <row r="166" spans="3:5" ht="12.75">
      <c r="C166" s="151" t="s">
        <v>265</v>
      </c>
      <c r="D166" s="152"/>
      <c r="E166" s="152"/>
    </row>
    <row r="167" spans="3:7" ht="12.75">
      <c r="C167" s="142" t="s">
        <v>180</v>
      </c>
      <c r="D167" s="143"/>
      <c r="E167" s="143"/>
      <c r="G167" s="69">
        <v>1</v>
      </c>
    </row>
    <row r="168" spans="3:7" ht="12.75">
      <c r="C168" s="142" t="s">
        <v>181</v>
      </c>
      <c r="D168" s="143"/>
      <c r="E168" s="143"/>
      <c r="G168" s="69">
        <v>1</v>
      </c>
    </row>
    <row r="169" spans="3:7" ht="12.75">
      <c r="C169" s="142" t="s">
        <v>202</v>
      </c>
      <c r="D169" s="143"/>
      <c r="E169" s="143"/>
      <c r="G169" s="69">
        <v>3</v>
      </c>
    </row>
    <row r="170" spans="1:61" ht="12.75">
      <c r="A170" s="6" t="s">
        <v>59</v>
      </c>
      <c r="B170" s="6" t="s">
        <v>143</v>
      </c>
      <c r="C170" s="149" t="s">
        <v>266</v>
      </c>
      <c r="D170" s="150"/>
      <c r="E170" s="150"/>
      <c r="F170" s="6" t="s">
        <v>305</v>
      </c>
      <c r="G170" s="70">
        <v>3</v>
      </c>
      <c r="H170" s="17">
        <v>0</v>
      </c>
      <c r="I170" s="17">
        <f>G170*AN170</f>
        <v>0</v>
      </c>
      <c r="J170" s="17">
        <f>G170*AO170</f>
        <v>0</v>
      </c>
      <c r="K170" s="17">
        <f>G170*H170</f>
        <v>0</v>
      </c>
      <c r="Y170" s="29">
        <f>IF(AP170="5",BI170,0)</f>
        <v>0</v>
      </c>
      <c r="AA170" s="29">
        <f>IF(AP170="1",BG170,0)</f>
        <v>0</v>
      </c>
      <c r="AB170" s="29">
        <f>IF(AP170="1",BH170,0)</f>
        <v>0</v>
      </c>
      <c r="AC170" s="29">
        <f>IF(AP170="7",BG170,0)</f>
        <v>0</v>
      </c>
      <c r="AD170" s="29">
        <f>IF(AP170="7",BH170,0)</f>
        <v>0</v>
      </c>
      <c r="AE170" s="29">
        <f>IF(AP170="2",BG170,0)</f>
        <v>0</v>
      </c>
      <c r="AF170" s="29">
        <f>IF(AP170="2",BH170,0)</f>
        <v>0</v>
      </c>
      <c r="AG170" s="29">
        <f>IF(AP170="0",BI170,0)</f>
        <v>0</v>
      </c>
      <c r="AH170" s="25"/>
      <c r="AI170" s="17">
        <f>IF(AM170=0,K170,0)</f>
        <v>0</v>
      </c>
      <c r="AJ170" s="17">
        <f>IF(AM170=15,K170,0)</f>
        <v>0</v>
      </c>
      <c r="AK170" s="17">
        <f>IF(AM170=21,K170,0)</f>
        <v>0</v>
      </c>
      <c r="AM170" s="29">
        <v>21</v>
      </c>
      <c r="AN170" s="29">
        <f>H170*1</f>
        <v>0</v>
      </c>
      <c r="AO170" s="29">
        <f>H170*(1-1)</f>
        <v>0</v>
      </c>
      <c r="AP170" s="26" t="s">
        <v>13</v>
      </c>
      <c r="AU170" s="29">
        <f>AV170+AW170</f>
        <v>0</v>
      </c>
      <c r="AV170" s="29">
        <f>G170*AN170</f>
        <v>0</v>
      </c>
      <c r="AW170" s="29">
        <f>G170*AO170</f>
        <v>0</v>
      </c>
      <c r="AX170" s="30" t="s">
        <v>333</v>
      </c>
      <c r="AY170" s="30" t="s">
        <v>335</v>
      </c>
      <c r="AZ170" s="25" t="s">
        <v>337</v>
      </c>
      <c r="BB170" s="29">
        <f>AV170+AW170</f>
        <v>0</v>
      </c>
      <c r="BC170" s="29">
        <f>H170/(100-BD170)*100</f>
        <v>0</v>
      </c>
      <c r="BD170" s="29">
        <v>0</v>
      </c>
      <c r="BE170" s="29">
        <f>170</f>
        <v>170</v>
      </c>
      <c r="BG170" s="17">
        <f>G170*AN170</f>
        <v>0</v>
      </c>
      <c r="BH170" s="17">
        <f>G170*AO170</f>
        <v>0</v>
      </c>
      <c r="BI170" s="17">
        <f>G170*H170</f>
        <v>0</v>
      </c>
    </row>
    <row r="171" spans="3:7" ht="12.75">
      <c r="C171" s="142" t="s">
        <v>232</v>
      </c>
      <c r="D171" s="143"/>
      <c r="E171" s="143"/>
      <c r="G171" s="69">
        <v>1</v>
      </c>
    </row>
    <row r="172" spans="3:7" ht="12.75">
      <c r="C172" s="142" t="s">
        <v>257</v>
      </c>
      <c r="D172" s="143"/>
      <c r="E172" s="143"/>
      <c r="G172" s="69">
        <v>1</v>
      </c>
    </row>
    <row r="173" spans="3:7" ht="12.75">
      <c r="C173" s="142" t="s">
        <v>181</v>
      </c>
      <c r="D173" s="143"/>
      <c r="E173" s="143"/>
      <c r="G173" s="69">
        <v>1</v>
      </c>
    </row>
    <row r="174" spans="1:61" ht="12.75">
      <c r="A174" s="4" t="s">
        <v>60</v>
      </c>
      <c r="B174" s="4" t="s">
        <v>144</v>
      </c>
      <c r="C174" s="140" t="s">
        <v>267</v>
      </c>
      <c r="D174" s="141"/>
      <c r="E174" s="141"/>
      <c r="F174" s="4" t="s">
        <v>305</v>
      </c>
      <c r="G174" s="68">
        <v>1</v>
      </c>
      <c r="H174" s="16">
        <v>0</v>
      </c>
      <c r="I174" s="16">
        <f>G174*AN174</f>
        <v>0</v>
      </c>
      <c r="J174" s="16">
        <f>G174*AO174</f>
        <v>0</v>
      </c>
      <c r="K174" s="16">
        <f>G174*H174</f>
        <v>0</v>
      </c>
      <c r="Y174" s="29">
        <f>IF(AP174="5",BI174,0)</f>
        <v>0</v>
      </c>
      <c r="AA174" s="29">
        <f>IF(AP174="1",BG174,0)</f>
        <v>0</v>
      </c>
      <c r="AB174" s="29">
        <f>IF(AP174="1",BH174,0)</f>
        <v>0</v>
      </c>
      <c r="AC174" s="29">
        <f>IF(AP174="7",BG174,0)</f>
        <v>0</v>
      </c>
      <c r="AD174" s="29">
        <f>IF(AP174="7",BH174,0)</f>
        <v>0</v>
      </c>
      <c r="AE174" s="29">
        <f>IF(AP174="2",BG174,0)</f>
        <v>0</v>
      </c>
      <c r="AF174" s="29">
        <f>IF(AP174="2",BH174,0)</f>
        <v>0</v>
      </c>
      <c r="AG174" s="29">
        <f>IF(AP174="0",BI174,0)</f>
        <v>0</v>
      </c>
      <c r="AH174" s="25"/>
      <c r="AI174" s="16">
        <f>IF(AM174=0,K174,0)</f>
        <v>0</v>
      </c>
      <c r="AJ174" s="16">
        <f>IF(AM174=15,K174,0)</f>
        <v>0</v>
      </c>
      <c r="AK174" s="16">
        <f>IF(AM174=21,K174,0)</f>
        <v>0</v>
      </c>
      <c r="AM174" s="29">
        <v>21</v>
      </c>
      <c r="AN174" s="29">
        <f>H174*0.815164835164835</f>
        <v>0</v>
      </c>
      <c r="AO174" s="29">
        <f>H174*(1-0.815164835164835)</f>
        <v>0</v>
      </c>
      <c r="AP174" s="24" t="s">
        <v>13</v>
      </c>
      <c r="AU174" s="29">
        <f>AV174+AW174</f>
        <v>0</v>
      </c>
      <c r="AV174" s="29">
        <f>G174*AN174</f>
        <v>0</v>
      </c>
      <c r="AW174" s="29">
        <f>G174*AO174</f>
        <v>0</v>
      </c>
      <c r="AX174" s="30" t="s">
        <v>333</v>
      </c>
      <c r="AY174" s="30" t="s">
        <v>335</v>
      </c>
      <c r="AZ174" s="25" t="s">
        <v>337</v>
      </c>
      <c r="BB174" s="29">
        <f>AV174+AW174</f>
        <v>0</v>
      </c>
      <c r="BC174" s="29">
        <f>H174/(100-BD174)*100</f>
        <v>0</v>
      </c>
      <c r="BD174" s="29">
        <v>0</v>
      </c>
      <c r="BE174" s="29">
        <f>174</f>
        <v>174</v>
      </c>
      <c r="BG174" s="16">
        <f>G174*AN174</f>
        <v>0</v>
      </c>
      <c r="BH174" s="16">
        <f>G174*AO174</f>
        <v>0</v>
      </c>
      <c r="BI174" s="16">
        <f>G174*H174</f>
        <v>0</v>
      </c>
    </row>
    <row r="175" spans="3:5" ht="12.75">
      <c r="C175" s="151" t="s">
        <v>268</v>
      </c>
      <c r="D175" s="152"/>
      <c r="E175" s="152"/>
    </row>
    <row r="176" spans="3:7" ht="12.75">
      <c r="C176" s="142" t="s">
        <v>186</v>
      </c>
      <c r="D176" s="143"/>
      <c r="E176" s="143"/>
      <c r="G176" s="69">
        <v>1</v>
      </c>
    </row>
    <row r="177" spans="1:61" ht="12.75">
      <c r="A177" s="4" t="s">
        <v>61</v>
      </c>
      <c r="B177" s="4" t="s">
        <v>145</v>
      </c>
      <c r="C177" s="140" t="s">
        <v>269</v>
      </c>
      <c r="D177" s="141"/>
      <c r="E177" s="141"/>
      <c r="F177" s="4" t="s">
        <v>308</v>
      </c>
      <c r="G177" s="68">
        <v>2</v>
      </c>
      <c r="H177" s="16">
        <v>0</v>
      </c>
      <c r="I177" s="16">
        <f>G177*AN177</f>
        <v>0</v>
      </c>
      <c r="J177" s="16">
        <f>G177*AO177</f>
        <v>0</v>
      </c>
      <c r="K177" s="16">
        <f>G177*H177</f>
        <v>0</v>
      </c>
      <c r="Y177" s="29">
        <f>IF(AP177="5",BI177,0)</f>
        <v>0</v>
      </c>
      <c r="AA177" s="29">
        <f>IF(AP177="1",BG177,0)</f>
        <v>0</v>
      </c>
      <c r="AB177" s="29">
        <f>IF(AP177="1",BH177,0)</f>
        <v>0</v>
      </c>
      <c r="AC177" s="29">
        <f>IF(AP177="7",BG177,0)</f>
        <v>0</v>
      </c>
      <c r="AD177" s="29">
        <f>IF(AP177="7",BH177,0)</f>
        <v>0</v>
      </c>
      <c r="AE177" s="29">
        <f>IF(AP177="2",BG177,0)</f>
        <v>0</v>
      </c>
      <c r="AF177" s="29">
        <f>IF(AP177="2",BH177,0)</f>
        <v>0</v>
      </c>
      <c r="AG177" s="29">
        <f>IF(AP177="0",BI177,0)</f>
        <v>0</v>
      </c>
      <c r="AH177" s="25"/>
      <c r="AI177" s="16">
        <f>IF(AM177=0,K177,0)</f>
        <v>0</v>
      </c>
      <c r="AJ177" s="16">
        <f>IF(AM177=15,K177,0)</f>
        <v>0</v>
      </c>
      <c r="AK177" s="16">
        <f>IF(AM177=21,K177,0)</f>
        <v>0</v>
      </c>
      <c r="AM177" s="29">
        <v>21</v>
      </c>
      <c r="AN177" s="29">
        <f>H177*0</f>
        <v>0</v>
      </c>
      <c r="AO177" s="29">
        <f>H177*(1-0)</f>
        <v>0</v>
      </c>
      <c r="AP177" s="24" t="s">
        <v>13</v>
      </c>
      <c r="AU177" s="29">
        <f>AV177+AW177</f>
        <v>0</v>
      </c>
      <c r="AV177" s="29">
        <f>G177*AN177</f>
        <v>0</v>
      </c>
      <c r="AW177" s="29">
        <f>G177*AO177</f>
        <v>0</v>
      </c>
      <c r="AX177" s="30" t="s">
        <v>333</v>
      </c>
      <c r="AY177" s="30" t="s">
        <v>335</v>
      </c>
      <c r="AZ177" s="25" t="s">
        <v>337</v>
      </c>
      <c r="BB177" s="29">
        <f>AV177+AW177</f>
        <v>0</v>
      </c>
      <c r="BC177" s="29">
        <f>H177/(100-BD177)*100</f>
        <v>0</v>
      </c>
      <c r="BD177" s="29">
        <v>0</v>
      </c>
      <c r="BE177" s="29">
        <f>177</f>
        <v>177</v>
      </c>
      <c r="BG177" s="16">
        <f>G177*AN177</f>
        <v>0</v>
      </c>
      <c r="BH177" s="16">
        <f>G177*AO177</f>
        <v>0</v>
      </c>
      <c r="BI177" s="16">
        <f>G177*H177</f>
        <v>0</v>
      </c>
    </row>
    <row r="178" spans="3:7" ht="12.75">
      <c r="C178" s="142" t="s">
        <v>193</v>
      </c>
      <c r="D178" s="143"/>
      <c r="E178" s="143"/>
      <c r="G178" s="69">
        <v>2</v>
      </c>
    </row>
    <row r="179" spans="1:61" ht="12.75">
      <c r="A179" s="4" t="s">
        <v>62</v>
      </c>
      <c r="B179" s="4" t="s">
        <v>146</v>
      </c>
      <c r="C179" s="140" t="s">
        <v>270</v>
      </c>
      <c r="D179" s="141"/>
      <c r="E179" s="141"/>
      <c r="F179" s="4" t="s">
        <v>308</v>
      </c>
      <c r="G179" s="68">
        <v>1</v>
      </c>
      <c r="H179" s="16">
        <v>0</v>
      </c>
      <c r="I179" s="16">
        <f>G179*AN179</f>
        <v>0</v>
      </c>
      <c r="J179" s="16">
        <f>G179*AO179</f>
        <v>0</v>
      </c>
      <c r="K179" s="16">
        <f>G179*H179</f>
        <v>0</v>
      </c>
      <c r="Y179" s="29">
        <f>IF(AP179="5",BI179,0)</f>
        <v>0</v>
      </c>
      <c r="AA179" s="29">
        <f>IF(AP179="1",BG179,0)</f>
        <v>0</v>
      </c>
      <c r="AB179" s="29">
        <f>IF(AP179="1",BH179,0)</f>
        <v>0</v>
      </c>
      <c r="AC179" s="29">
        <f>IF(AP179="7",BG179,0)</f>
        <v>0</v>
      </c>
      <c r="AD179" s="29">
        <f>IF(AP179="7",BH179,0)</f>
        <v>0</v>
      </c>
      <c r="AE179" s="29">
        <f>IF(AP179="2",BG179,0)</f>
        <v>0</v>
      </c>
      <c r="AF179" s="29">
        <f>IF(AP179="2",BH179,0)</f>
        <v>0</v>
      </c>
      <c r="AG179" s="29">
        <f>IF(AP179="0",BI179,0)</f>
        <v>0</v>
      </c>
      <c r="AH179" s="25"/>
      <c r="AI179" s="16">
        <f>IF(AM179=0,K179,0)</f>
        <v>0</v>
      </c>
      <c r="AJ179" s="16">
        <f>IF(AM179=15,K179,0)</f>
        <v>0</v>
      </c>
      <c r="AK179" s="16">
        <f>IF(AM179=21,K179,0)</f>
        <v>0</v>
      </c>
      <c r="AM179" s="29">
        <v>21</v>
      </c>
      <c r="AN179" s="29">
        <f>H179*0</f>
        <v>0</v>
      </c>
      <c r="AO179" s="29">
        <f>H179*(1-0)</f>
        <v>0</v>
      </c>
      <c r="AP179" s="24" t="s">
        <v>13</v>
      </c>
      <c r="AU179" s="29">
        <f>AV179+AW179</f>
        <v>0</v>
      </c>
      <c r="AV179" s="29">
        <f>G179*AN179</f>
        <v>0</v>
      </c>
      <c r="AW179" s="29">
        <f>G179*AO179</f>
        <v>0</v>
      </c>
      <c r="AX179" s="30" t="s">
        <v>333</v>
      </c>
      <c r="AY179" s="30" t="s">
        <v>335</v>
      </c>
      <c r="AZ179" s="25" t="s">
        <v>337</v>
      </c>
      <c r="BB179" s="29">
        <f>AV179+AW179</f>
        <v>0</v>
      </c>
      <c r="BC179" s="29">
        <f>H179/(100-BD179)*100</f>
        <v>0</v>
      </c>
      <c r="BD179" s="29">
        <v>0</v>
      </c>
      <c r="BE179" s="29">
        <f>179</f>
        <v>179</v>
      </c>
      <c r="BG179" s="16">
        <f>G179*AN179</f>
        <v>0</v>
      </c>
      <c r="BH179" s="16">
        <f>G179*AO179</f>
        <v>0</v>
      </c>
      <c r="BI179" s="16">
        <f>G179*H179</f>
        <v>0</v>
      </c>
    </row>
    <row r="180" spans="3:7" ht="12.75">
      <c r="C180" s="142" t="s">
        <v>186</v>
      </c>
      <c r="D180" s="143"/>
      <c r="E180" s="143"/>
      <c r="G180" s="69">
        <v>1</v>
      </c>
    </row>
    <row r="181" spans="1:61" ht="12.75">
      <c r="A181" s="4" t="s">
        <v>63</v>
      </c>
      <c r="B181" s="4" t="s">
        <v>147</v>
      </c>
      <c r="C181" s="140" t="s">
        <v>271</v>
      </c>
      <c r="D181" s="141"/>
      <c r="E181" s="141"/>
      <c r="F181" s="4" t="s">
        <v>308</v>
      </c>
      <c r="G181" s="68">
        <v>2</v>
      </c>
      <c r="H181" s="16">
        <v>0</v>
      </c>
      <c r="I181" s="16">
        <f>G181*AN181</f>
        <v>0</v>
      </c>
      <c r="J181" s="16">
        <f>G181*AO181</f>
        <v>0</v>
      </c>
      <c r="K181" s="16">
        <f>G181*H181</f>
        <v>0</v>
      </c>
      <c r="Y181" s="29">
        <f>IF(AP181="5",BI181,0)</f>
        <v>0</v>
      </c>
      <c r="AA181" s="29">
        <f>IF(AP181="1",BG181,0)</f>
        <v>0</v>
      </c>
      <c r="AB181" s="29">
        <f>IF(AP181="1",BH181,0)</f>
        <v>0</v>
      </c>
      <c r="AC181" s="29">
        <f>IF(AP181="7",BG181,0)</f>
        <v>0</v>
      </c>
      <c r="AD181" s="29">
        <f>IF(AP181="7",BH181,0)</f>
        <v>0</v>
      </c>
      <c r="AE181" s="29">
        <f>IF(AP181="2",BG181,0)</f>
        <v>0</v>
      </c>
      <c r="AF181" s="29">
        <f>IF(AP181="2",BH181,0)</f>
        <v>0</v>
      </c>
      <c r="AG181" s="29">
        <f>IF(AP181="0",BI181,0)</f>
        <v>0</v>
      </c>
      <c r="AH181" s="25"/>
      <c r="AI181" s="16">
        <f>IF(AM181=0,K181,0)</f>
        <v>0</v>
      </c>
      <c r="AJ181" s="16">
        <f>IF(AM181=15,K181,0)</f>
        <v>0</v>
      </c>
      <c r="AK181" s="16">
        <f>IF(AM181=21,K181,0)</f>
        <v>0</v>
      </c>
      <c r="AM181" s="29">
        <v>21</v>
      </c>
      <c r="AN181" s="29">
        <f>H181*0</f>
        <v>0</v>
      </c>
      <c r="AO181" s="29">
        <f>H181*(1-0)</f>
        <v>0</v>
      </c>
      <c r="AP181" s="24" t="s">
        <v>13</v>
      </c>
      <c r="AU181" s="29">
        <f>AV181+AW181</f>
        <v>0</v>
      </c>
      <c r="AV181" s="29">
        <f>G181*AN181</f>
        <v>0</v>
      </c>
      <c r="AW181" s="29">
        <f>G181*AO181</f>
        <v>0</v>
      </c>
      <c r="AX181" s="30" t="s">
        <v>333</v>
      </c>
      <c r="AY181" s="30" t="s">
        <v>335</v>
      </c>
      <c r="AZ181" s="25" t="s">
        <v>337</v>
      </c>
      <c r="BB181" s="29">
        <f>AV181+AW181</f>
        <v>0</v>
      </c>
      <c r="BC181" s="29">
        <f>H181/(100-BD181)*100</f>
        <v>0</v>
      </c>
      <c r="BD181" s="29">
        <v>0</v>
      </c>
      <c r="BE181" s="29">
        <f>181</f>
        <v>181</v>
      </c>
      <c r="BG181" s="16">
        <f>G181*AN181</f>
        <v>0</v>
      </c>
      <c r="BH181" s="16">
        <f>G181*AO181</f>
        <v>0</v>
      </c>
      <c r="BI181" s="16">
        <f>G181*H181</f>
        <v>0</v>
      </c>
    </row>
    <row r="182" spans="3:7" ht="12.75">
      <c r="C182" s="142" t="s">
        <v>193</v>
      </c>
      <c r="D182" s="143"/>
      <c r="E182" s="143"/>
      <c r="G182" s="69">
        <v>2</v>
      </c>
    </row>
    <row r="183" spans="1:61" ht="12.75">
      <c r="A183" s="4" t="s">
        <v>64</v>
      </c>
      <c r="B183" s="4" t="s">
        <v>148</v>
      </c>
      <c r="C183" s="140" t="s">
        <v>272</v>
      </c>
      <c r="D183" s="141"/>
      <c r="E183" s="141"/>
      <c r="F183" s="4" t="s">
        <v>308</v>
      </c>
      <c r="G183" s="68">
        <v>1</v>
      </c>
      <c r="H183" s="16">
        <v>0</v>
      </c>
      <c r="I183" s="16">
        <f>G183*AN183</f>
        <v>0</v>
      </c>
      <c r="J183" s="16">
        <f>G183*AO183</f>
        <v>0</v>
      </c>
      <c r="K183" s="16">
        <f>G183*H183</f>
        <v>0</v>
      </c>
      <c r="Y183" s="29">
        <f>IF(AP183="5",BI183,0)</f>
        <v>0</v>
      </c>
      <c r="AA183" s="29">
        <f>IF(AP183="1",BG183,0)</f>
        <v>0</v>
      </c>
      <c r="AB183" s="29">
        <f>IF(AP183="1",BH183,0)</f>
        <v>0</v>
      </c>
      <c r="AC183" s="29">
        <f>IF(AP183="7",BG183,0)</f>
        <v>0</v>
      </c>
      <c r="AD183" s="29">
        <f>IF(AP183="7",BH183,0)</f>
        <v>0</v>
      </c>
      <c r="AE183" s="29">
        <f>IF(AP183="2",BG183,0)</f>
        <v>0</v>
      </c>
      <c r="AF183" s="29">
        <f>IF(AP183="2",BH183,0)</f>
        <v>0</v>
      </c>
      <c r="AG183" s="29">
        <f>IF(AP183="0",BI183,0)</f>
        <v>0</v>
      </c>
      <c r="AH183" s="25"/>
      <c r="AI183" s="16">
        <f>IF(AM183=0,K183,0)</f>
        <v>0</v>
      </c>
      <c r="AJ183" s="16">
        <f>IF(AM183=15,K183,0)</f>
        <v>0</v>
      </c>
      <c r="AK183" s="16">
        <f>IF(AM183=21,K183,0)</f>
        <v>0</v>
      </c>
      <c r="AM183" s="29">
        <v>21</v>
      </c>
      <c r="AN183" s="29">
        <f>H183*0</f>
        <v>0</v>
      </c>
      <c r="AO183" s="29">
        <f>H183*(1-0)</f>
        <v>0</v>
      </c>
      <c r="AP183" s="24" t="s">
        <v>13</v>
      </c>
      <c r="AU183" s="29">
        <f>AV183+AW183</f>
        <v>0</v>
      </c>
      <c r="AV183" s="29">
        <f>G183*AN183</f>
        <v>0</v>
      </c>
      <c r="AW183" s="29">
        <f>G183*AO183</f>
        <v>0</v>
      </c>
      <c r="AX183" s="30" t="s">
        <v>333</v>
      </c>
      <c r="AY183" s="30" t="s">
        <v>335</v>
      </c>
      <c r="AZ183" s="25" t="s">
        <v>337</v>
      </c>
      <c r="BB183" s="29">
        <f>AV183+AW183</f>
        <v>0</v>
      </c>
      <c r="BC183" s="29">
        <f>H183/(100-BD183)*100</f>
        <v>0</v>
      </c>
      <c r="BD183" s="29">
        <v>0</v>
      </c>
      <c r="BE183" s="29">
        <f>183</f>
        <v>183</v>
      </c>
      <c r="BG183" s="16">
        <f>G183*AN183</f>
        <v>0</v>
      </c>
      <c r="BH183" s="16">
        <f>G183*AO183</f>
        <v>0</v>
      </c>
      <c r="BI183" s="16">
        <f>G183*H183</f>
        <v>0</v>
      </c>
    </row>
    <row r="184" spans="3:7" ht="12.75">
      <c r="C184" s="142" t="s">
        <v>186</v>
      </c>
      <c r="D184" s="143"/>
      <c r="E184" s="143"/>
      <c r="G184" s="69">
        <v>1</v>
      </c>
    </row>
    <row r="185" spans="1:61" ht="12.75">
      <c r="A185" s="4" t="s">
        <v>65</v>
      </c>
      <c r="B185" s="4" t="s">
        <v>149</v>
      </c>
      <c r="C185" s="140" t="s">
        <v>273</v>
      </c>
      <c r="D185" s="141"/>
      <c r="E185" s="141"/>
      <c r="F185" s="4" t="s">
        <v>308</v>
      </c>
      <c r="G185" s="68">
        <v>1</v>
      </c>
      <c r="H185" s="16">
        <v>0</v>
      </c>
      <c r="I185" s="16">
        <f>G185*AN185</f>
        <v>0</v>
      </c>
      <c r="J185" s="16">
        <f>G185*AO185</f>
        <v>0</v>
      </c>
      <c r="K185" s="16">
        <f>G185*H185</f>
        <v>0</v>
      </c>
      <c r="Y185" s="29">
        <f>IF(AP185="5",BI185,0)</f>
        <v>0</v>
      </c>
      <c r="AA185" s="29">
        <f>IF(AP185="1",BG185,0)</f>
        <v>0</v>
      </c>
      <c r="AB185" s="29">
        <f>IF(AP185="1",BH185,0)</f>
        <v>0</v>
      </c>
      <c r="AC185" s="29">
        <f>IF(AP185="7",BG185,0)</f>
        <v>0</v>
      </c>
      <c r="AD185" s="29">
        <f>IF(AP185="7",BH185,0)</f>
        <v>0</v>
      </c>
      <c r="AE185" s="29">
        <f>IF(AP185="2",BG185,0)</f>
        <v>0</v>
      </c>
      <c r="AF185" s="29">
        <f>IF(AP185="2",BH185,0)</f>
        <v>0</v>
      </c>
      <c r="AG185" s="29">
        <f>IF(AP185="0",BI185,0)</f>
        <v>0</v>
      </c>
      <c r="AH185" s="25"/>
      <c r="AI185" s="16">
        <f>IF(AM185=0,K185,0)</f>
        <v>0</v>
      </c>
      <c r="AJ185" s="16">
        <f>IF(AM185=15,K185,0)</f>
        <v>0</v>
      </c>
      <c r="AK185" s="16">
        <f>IF(AM185=21,K185,0)</f>
        <v>0</v>
      </c>
      <c r="AM185" s="29">
        <v>21</v>
      </c>
      <c r="AN185" s="29">
        <f>H185*0.293062425113147</f>
        <v>0</v>
      </c>
      <c r="AO185" s="29">
        <f>H185*(1-0.293062425113147)</f>
        <v>0</v>
      </c>
      <c r="AP185" s="24" t="s">
        <v>13</v>
      </c>
      <c r="AU185" s="29">
        <f>AV185+AW185</f>
        <v>0</v>
      </c>
      <c r="AV185" s="29">
        <f>G185*AN185</f>
        <v>0</v>
      </c>
      <c r="AW185" s="29">
        <f>G185*AO185</f>
        <v>0</v>
      </c>
      <c r="AX185" s="30" t="s">
        <v>333</v>
      </c>
      <c r="AY185" s="30" t="s">
        <v>335</v>
      </c>
      <c r="AZ185" s="25" t="s">
        <v>337</v>
      </c>
      <c r="BB185" s="29">
        <f>AV185+AW185</f>
        <v>0</v>
      </c>
      <c r="BC185" s="29">
        <f>H185/(100-BD185)*100</f>
        <v>0</v>
      </c>
      <c r="BD185" s="29">
        <v>0</v>
      </c>
      <c r="BE185" s="29">
        <f>185</f>
        <v>185</v>
      </c>
      <c r="BG185" s="16">
        <f>G185*AN185</f>
        <v>0</v>
      </c>
      <c r="BH185" s="16">
        <f>G185*AO185</f>
        <v>0</v>
      </c>
      <c r="BI185" s="16">
        <f>G185*H185</f>
        <v>0</v>
      </c>
    </row>
    <row r="186" spans="3:7" ht="12.75">
      <c r="C186" s="142" t="s">
        <v>186</v>
      </c>
      <c r="D186" s="143"/>
      <c r="E186" s="143"/>
      <c r="G186" s="69">
        <v>1</v>
      </c>
    </row>
    <row r="187" spans="1:61" ht="12.75">
      <c r="A187" s="4" t="s">
        <v>66</v>
      </c>
      <c r="B187" s="4" t="s">
        <v>150</v>
      </c>
      <c r="C187" s="140" t="s">
        <v>274</v>
      </c>
      <c r="D187" s="141"/>
      <c r="E187" s="141"/>
      <c r="F187" s="4" t="s">
        <v>308</v>
      </c>
      <c r="G187" s="68">
        <v>1</v>
      </c>
      <c r="H187" s="16">
        <v>0</v>
      </c>
      <c r="I187" s="16">
        <f>G187*AN187</f>
        <v>0</v>
      </c>
      <c r="J187" s="16">
        <f>G187*AO187</f>
        <v>0</v>
      </c>
      <c r="K187" s="16">
        <f>G187*H187</f>
        <v>0</v>
      </c>
      <c r="Y187" s="29">
        <f>IF(AP187="5",BI187,0)</f>
        <v>0</v>
      </c>
      <c r="AA187" s="29">
        <f>IF(AP187="1",BG187,0)</f>
        <v>0</v>
      </c>
      <c r="AB187" s="29">
        <f>IF(AP187="1",BH187,0)</f>
        <v>0</v>
      </c>
      <c r="AC187" s="29">
        <f>IF(AP187="7",BG187,0)</f>
        <v>0</v>
      </c>
      <c r="AD187" s="29">
        <f>IF(AP187="7",BH187,0)</f>
        <v>0</v>
      </c>
      <c r="AE187" s="29">
        <f>IF(AP187="2",BG187,0)</f>
        <v>0</v>
      </c>
      <c r="AF187" s="29">
        <f>IF(AP187="2",BH187,0)</f>
        <v>0</v>
      </c>
      <c r="AG187" s="29">
        <f>IF(AP187="0",BI187,0)</f>
        <v>0</v>
      </c>
      <c r="AH187" s="25"/>
      <c r="AI187" s="16">
        <f>IF(AM187=0,K187,0)</f>
        <v>0</v>
      </c>
      <c r="AJ187" s="16">
        <f>IF(AM187=15,K187,0)</f>
        <v>0</v>
      </c>
      <c r="AK187" s="16">
        <f>IF(AM187=21,K187,0)</f>
        <v>0</v>
      </c>
      <c r="AM187" s="29">
        <v>21</v>
      </c>
      <c r="AN187" s="29">
        <f>H187*0.880771377137714</f>
        <v>0</v>
      </c>
      <c r="AO187" s="29">
        <f>H187*(1-0.880771377137714)</f>
        <v>0</v>
      </c>
      <c r="AP187" s="24" t="s">
        <v>13</v>
      </c>
      <c r="AU187" s="29">
        <f>AV187+AW187</f>
        <v>0</v>
      </c>
      <c r="AV187" s="29">
        <f>G187*AN187</f>
        <v>0</v>
      </c>
      <c r="AW187" s="29">
        <f>G187*AO187</f>
        <v>0</v>
      </c>
      <c r="AX187" s="30" t="s">
        <v>333</v>
      </c>
      <c r="AY187" s="30" t="s">
        <v>335</v>
      </c>
      <c r="AZ187" s="25" t="s">
        <v>337</v>
      </c>
      <c r="BB187" s="29">
        <f>AV187+AW187</f>
        <v>0</v>
      </c>
      <c r="BC187" s="29">
        <f>H187/(100-BD187)*100</f>
        <v>0</v>
      </c>
      <c r="BD187" s="29">
        <v>0</v>
      </c>
      <c r="BE187" s="29">
        <f>187</f>
        <v>187</v>
      </c>
      <c r="BG187" s="16">
        <f>G187*AN187</f>
        <v>0</v>
      </c>
      <c r="BH187" s="16">
        <f>G187*AO187</f>
        <v>0</v>
      </c>
      <c r="BI187" s="16">
        <f>G187*H187</f>
        <v>0</v>
      </c>
    </row>
    <row r="188" spans="3:7" ht="12.75">
      <c r="C188" s="142" t="s">
        <v>186</v>
      </c>
      <c r="D188" s="143"/>
      <c r="E188" s="143"/>
      <c r="G188" s="69">
        <v>1</v>
      </c>
    </row>
    <row r="189" spans="1:61" ht="12.75">
      <c r="A189" s="4" t="s">
        <v>67</v>
      </c>
      <c r="B189" s="4" t="s">
        <v>151</v>
      </c>
      <c r="C189" s="140" t="s">
        <v>275</v>
      </c>
      <c r="D189" s="141"/>
      <c r="E189" s="141"/>
      <c r="F189" s="4" t="s">
        <v>305</v>
      </c>
      <c r="G189" s="68">
        <v>2</v>
      </c>
      <c r="H189" s="16">
        <v>0</v>
      </c>
      <c r="I189" s="16">
        <f>G189*AN189</f>
        <v>0</v>
      </c>
      <c r="J189" s="16">
        <f>G189*AO189</f>
        <v>0</v>
      </c>
      <c r="K189" s="16">
        <f>G189*H189</f>
        <v>0</v>
      </c>
      <c r="Y189" s="29">
        <f>IF(AP189="5",BI189,0)</f>
        <v>0</v>
      </c>
      <c r="AA189" s="29">
        <f>IF(AP189="1",BG189,0)</f>
        <v>0</v>
      </c>
      <c r="AB189" s="29">
        <f>IF(AP189="1",BH189,0)</f>
        <v>0</v>
      </c>
      <c r="AC189" s="29">
        <f>IF(AP189="7",BG189,0)</f>
        <v>0</v>
      </c>
      <c r="AD189" s="29">
        <f>IF(AP189="7",BH189,0)</f>
        <v>0</v>
      </c>
      <c r="AE189" s="29">
        <f>IF(AP189="2",BG189,0)</f>
        <v>0</v>
      </c>
      <c r="AF189" s="29">
        <f>IF(AP189="2",BH189,0)</f>
        <v>0</v>
      </c>
      <c r="AG189" s="29">
        <f>IF(AP189="0",BI189,0)</f>
        <v>0</v>
      </c>
      <c r="AH189" s="25"/>
      <c r="AI189" s="16">
        <f>IF(AM189=0,K189,0)</f>
        <v>0</v>
      </c>
      <c r="AJ189" s="16">
        <f>IF(AM189=15,K189,0)</f>
        <v>0</v>
      </c>
      <c r="AK189" s="16">
        <f>IF(AM189=21,K189,0)</f>
        <v>0</v>
      </c>
      <c r="AM189" s="29">
        <v>21</v>
      </c>
      <c r="AN189" s="29">
        <f>H189*0.320933559867656</f>
        <v>0</v>
      </c>
      <c r="AO189" s="29">
        <f>H189*(1-0.320933559867656)</f>
        <v>0</v>
      </c>
      <c r="AP189" s="24" t="s">
        <v>13</v>
      </c>
      <c r="AU189" s="29">
        <f>AV189+AW189</f>
        <v>0</v>
      </c>
      <c r="AV189" s="29">
        <f>G189*AN189</f>
        <v>0</v>
      </c>
      <c r="AW189" s="29">
        <f>G189*AO189</f>
        <v>0</v>
      </c>
      <c r="AX189" s="30" t="s">
        <v>333</v>
      </c>
      <c r="AY189" s="30" t="s">
        <v>335</v>
      </c>
      <c r="AZ189" s="25" t="s">
        <v>337</v>
      </c>
      <c r="BB189" s="29">
        <f>AV189+AW189</f>
        <v>0</v>
      </c>
      <c r="BC189" s="29">
        <f>H189/(100-BD189)*100</f>
        <v>0</v>
      </c>
      <c r="BD189" s="29">
        <v>0</v>
      </c>
      <c r="BE189" s="29">
        <f>189</f>
        <v>189</v>
      </c>
      <c r="BG189" s="16">
        <f>G189*AN189</f>
        <v>0</v>
      </c>
      <c r="BH189" s="16">
        <f>G189*AO189</f>
        <v>0</v>
      </c>
      <c r="BI189" s="16">
        <f>G189*H189</f>
        <v>0</v>
      </c>
    </row>
    <row r="190" spans="3:7" ht="12.75">
      <c r="C190" s="142" t="s">
        <v>193</v>
      </c>
      <c r="D190" s="143"/>
      <c r="E190" s="143"/>
      <c r="G190" s="69">
        <v>2</v>
      </c>
    </row>
    <row r="191" spans="1:61" ht="12.75">
      <c r="A191" s="4" t="s">
        <v>68</v>
      </c>
      <c r="B191" s="4" t="s">
        <v>152</v>
      </c>
      <c r="C191" s="140" t="s">
        <v>276</v>
      </c>
      <c r="D191" s="141"/>
      <c r="E191" s="141"/>
      <c r="F191" s="4" t="s">
        <v>305</v>
      </c>
      <c r="G191" s="68">
        <v>1</v>
      </c>
      <c r="H191" s="16">
        <v>0</v>
      </c>
      <c r="I191" s="16">
        <f>G191*AN191</f>
        <v>0</v>
      </c>
      <c r="J191" s="16">
        <f>G191*AO191</f>
        <v>0</v>
      </c>
      <c r="K191" s="16">
        <f>G191*H191</f>
        <v>0</v>
      </c>
      <c r="Y191" s="29">
        <f>IF(AP191="5",BI191,0)</f>
        <v>0</v>
      </c>
      <c r="AA191" s="29">
        <f>IF(AP191="1",BG191,0)</f>
        <v>0</v>
      </c>
      <c r="AB191" s="29">
        <f>IF(AP191="1",BH191,0)</f>
        <v>0</v>
      </c>
      <c r="AC191" s="29">
        <f>IF(AP191="7",BG191,0)</f>
        <v>0</v>
      </c>
      <c r="AD191" s="29">
        <f>IF(AP191="7",BH191,0)</f>
        <v>0</v>
      </c>
      <c r="AE191" s="29">
        <f>IF(AP191="2",BG191,0)</f>
        <v>0</v>
      </c>
      <c r="AF191" s="29">
        <f>IF(AP191="2",BH191,0)</f>
        <v>0</v>
      </c>
      <c r="AG191" s="29">
        <f>IF(AP191="0",BI191,0)</f>
        <v>0</v>
      </c>
      <c r="AH191" s="25"/>
      <c r="AI191" s="16">
        <f>IF(AM191=0,K191,0)</f>
        <v>0</v>
      </c>
      <c r="AJ191" s="16">
        <f>IF(AM191=15,K191,0)</f>
        <v>0</v>
      </c>
      <c r="AK191" s="16">
        <f>IF(AM191=21,K191,0)</f>
        <v>0</v>
      </c>
      <c r="AM191" s="29">
        <v>21</v>
      </c>
      <c r="AN191" s="29">
        <f>H191*0.192129329775383</f>
        <v>0</v>
      </c>
      <c r="AO191" s="29">
        <f>H191*(1-0.192129329775383)</f>
        <v>0</v>
      </c>
      <c r="AP191" s="24" t="s">
        <v>13</v>
      </c>
      <c r="AU191" s="29">
        <f>AV191+AW191</f>
        <v>0</v>
      </c>
      <c r="AV191" s="29">
        <f>G191*AN191</f>
        <v>0</v>
      </c>
      <c r="AW191" s="29">
        <f>G191*AO191</f>
        <v>0</v>
      </c>
      <c r="AX191" s="30" t="s">
        <v>333</v>
      </c>
      <c r="AY191" s="30" t="s">
        <v>335</v>
      </c>
      <c r="AZ191" s="25" t="s">
        <v>337</v>
      </c>
      <c r="BB191" s="29">
        <f>AV191+AW191</f>
        <v>0</v>
      </c>
      <c r="BC191" s="29">
        <f>H191/(100-BD191)*100</f>
        <v>0</v>
      </c>
      <c r="BD191" s="29">
        <v>0</v>
      </c>
      <c r="BE191" s="29">
        <f>191</f>
        <v>191</v>
      </c>
      <c r="BG191" s="16">
        <f>G191*AN191</f>
        <v>0</v>
      </c>
      <c r="BH191" s="16">
        <f>G191*AO191</f>
        <v>0</v>
      </c>
      <c r="BI191" s="16">
        <f>G191*H191</f>
        <v>0</v>
      </c>
    </row>
    <row r="192" spans="3:7" ht="12.75">
      <c r="C192" s="142" t="s">
        <v>186</v>
      </c>
      <c r="D192" s="143"/>
      <c r="E192" s="143"/>
      <c r="G192" s="69">
        <v>1</v>
      </c>
    </row>
    <row r="193" spans="1:61" ht="12.75">
      <c r="A193" s="4" t="s">
        <v>69</v>
      </c>
      <c r="B193" s="4" t="s">
        <v>153</v>
      </c>
      <c r="C193" s="140" t="s">
        <v>277</v>
      </c>
      <c r="D193" s="141"/>
      <c r="E193" s="141"/>
      <c r="F193" s="4" t="s">
        <v>308</v>
      </c>
      <c r="G193" s="68">
        <v>2</v>
      </c>
      <c r="H193" s="16">
        <v>0</v>
      </c>
      <c r="I193" s="16">
        <f>G193*AN193</f>
        <v>0</v>
      </c>
      <c r="J193" s="16">
        <f>G193*AO193</f>
        <v>0</v>
      </c>
      <c r="K193" s="16">
        <f>G193*H193</f>
        <v>0</v>
      </c>
      <c r="Y193" s="29">
        <f>IF(AP193="5",BI193,0)</f>
        <v>0</v>
      </c>
      <c r="AA193" s="29">
        <f>IF(AP193="1",BG193,0)</f>
        <v>0</v>
      </c>
      <c r="AB193" s="29">
        <f>IF(AP193="1",BH193,0)</f>
        <v>0</v>
      </c>
      <c r="AC193" s="29">
        <f>IF(AP193="7",BG193,0)</f>
        <v>0</v>
      </c>
      <c r="AD193" s="29">
        <f>IF(AP193="7",BH193,0)</f>
        <v>0</v>
      </c>
      <c r="AE193" s="29">
        <f>IF(AP193="2",BG193,0)</f>
        <v>0</v>
      </c>
      <c r="AF193" s="29">
        <f>IF(AP193="2",BH193,0)</f>
        <v>0</v>
      </c>
      <c r="AG193" s="29">
        <f>IF(AP193="0",BI193,0)</f>
        <v>0</v>
      </c>
      <c r="AH193" s="25"/>
      <c r="AI193" s="16">
        <f>IF(AM193=0,K193,0)</f>
        <v>0</v>
      </c>
      <c r="AJ193" s="16">
        <f>IF(AM193=15,K193,0)</f>
        <v>0</v>
      </c>
      <c r="AK193" s="16">
        <f>IF(AM193=21,K193,0)</f>
        <v>0</v>
      </c>
      <c r="AM193" s="29">
        <v>21</v>
      </c>
      <c r="AN193" s="29">
        <f>H193*0.948982558139535</f>
        <v>0</v>
      </c>
      <c r="AO193" s="29">
        <f>H193*(1-0.948982558139535)</f>
        <v>0</v>
      </c>
      <c r="AP193" s="24" t="s">
        <v>13</v>
      </c>
      <c r="AU193" s="29">
        <f>AV193+AW193</f>
        <v>0</v>
      </c>
      <c r="AV193" s="29">
        <f>G193*AN193</f>
        <v>0</v>
      </c>
      <c r="AW193" s="29">
        <f>G193*AO193</f>
        <v>0</v>
      </c>
      <c r="AX193" s="30" t="s">
        <v>333</v>
      </c>
      <c r="AY193" s="30" t="s">
        <v>335</v>
      </c>
      <c r="AZ193" s="25" t="s">
        <v>337</v>
      </c>
      <c r="BB193" s="29">
        <f>AV193+AW193</f>
        <v>0</v>
      </c>
      <c r="BC193" s="29">
        <f>H193/(100-BD193)*100</f>
        <v>0</v>
      </c>
      <c r="BD193" s="29">
        <v>0</v>
      </c>
      <c r="BE193" s="29">
        <f>193</f>
        <v>193</v>
      </c>
      <c r="BG193" s="16">
        <f>G193*AN193</f>
        <v>0</v>
      </c>
      <c r="BH193" s="16">
        <f>G193*AO193</f>
        <v>0</v>
      </c>
      <c r="BI193" s="16">
        <f>G193*H193</f>
        <v>0</v>
      </c>
    </row>
    <row r="194" spans="3:7" ht="12.75">
      <c r="C194" s="142" t="s">
        <v>193</v>
      </c>
      <c r="D194" s="143"/>
      <c r="E194" s="143"/>
      <c r="G194" s="69">
        <v>2</v>
      </c>
    </row>
    <row r="195" spans="1:61" ht="12.75">
      <c r="A195" s="6" t="s">
        <v>70</v>
      </c>
      <c r="B195" s="6" t="s">
        <v>154</v>
      </c>
      <c r="C195" s="149" t="s">
        <v>278</v>
      </c>
      <c r="D195" s="150"/>
      <c r="E195" s="150"/>
      <c r="F195" s="6" t="s">
        <v>305</v>
      </c>
      <c r="G195" s="70">
        <v>2</v>
      </c>
      <c r="H195" s="17">
        <v>0</v>
      </c>
      <c r="I195" s="17">
        <f>G195*AN195</f>
        <v>0</v>
      </c>
      <c r="J195" s="17">
        <f>G195*AO195</f>
        <v>0</v>
      </c>
      <c r="K195" s="17">
        <f>G195*H195</f>
        <v>0</v>
      </c>
      <c r="Y195" s="29">
        <f>IF(AP195="5",BI195,0)</f>
        <v>0</v>
      </c>
      <c r="AA195" s="29">
        <f>IF(AP195="1",BG195,0)</f>
        <v>0</v>
      </c>
      <c r="AB195" s="29">
        <f>IF(AP195="1",BH195,0)</f>
        <v>0</v>
      </c>
      <c r="AC195" s="29">
        <f>IF(AP195="7",BG195,0)</f>
        <v>0</v>
      </c>
      <c r="AD195" s="29">
        <f>IF(AP195="7",BH195,0)</f>
        <v>0</v>
      </c>
      <c r="AE195" s="29">
        <f>IF(AP195="2",BG195,0)</f>
        <v>0</v>
      </c>
      <c r="AF195" s="29">
        <f>IF(AP195="2",BH195,0)</f>
        <v>0</v>
      </c>
      <c r="AG195" s="29">
        <f>IF(AP195="0",BI195,0)</f>
        <v>0</v>
      </c>
      <c r="AH195" s="25"/>
      <c r="AI195" s="17">
        <f>IF(AM195=0,K195,0)</f>
        <v>0</v>
      </c>
      <c r="AJ195" s="17">
        <f>IF(AM195=15,K195,0)</f>
        <v>0</v>
      </c>
      <c r="AK195" s="17">
        <f>IF(AM195=21,K195,0)</f>
        <v>0</v>
      </c>
      <c r="AM195" s="29">
        <v>21</v>
      </c>
      <c r="AN195" s="29">
        <f>H195*1</f>
        <v>0</v>
      </c>
      <c r="AO195" s="29">
        <f>H195*(1-1)</f>
        <v>0</v>
      </c>
      <c r="AP195" s="26" t="s">
        <v>13</v>
      </c>
      <c r="AU195" s="29">
        <f>AV195+AW195</f>
        <v>0</v>
      </c>
      <c r="AV195" s="29">
        <f>G195*AN195</f>
        <v>0</v>
      </c>
      <c r="AW195" s="29">
        <f>G195*AO195</f>
        <v>0</v>
      </c>
      <c r="AX195" s="30" t="s">
        <v>333</v>
      </c>
      <c r="AY195" s="30" t="s">
        <v>335</v>
      </c>
      <c r="AZ195" s="25" t="s">
        <v>337</v>
      </c>
      <c r="BB195" s="29">
        <f>AV195+AW195</f>
        <v>0</v>
      </c>
      <c r="BC195" s="29">
        <f>H195/(100-BD195)*100</f>
        <v>0</v>
      </c>
      <c r="BD195" s="29">
        <v>0</v>
      </c>
      <c r="BE195" s="29">
        <f>195</f>
        <v>195</v>
      </c>
      <c r="BG195" s="17">
        <f>G195*AN195</f>
        <v>0</v>
      </c>
      <c r="BH195" s="17">
        <f>G195*AO195</f>
        <v>0</v>
      </c>
      <c r="BI195" s="17">
        <f>G195*H195</f>
        <v>0</v>
      </c>
    </row>
    <row r="196" spans="3:7" ht="12.75">
      <c r="C196" s="142" t="s">
        <v>193</v>
      </c>
      <c r="D196" s="143"/>
      <c r="E196" s="143"/>
      <c r="G196" s="69">
        <v>2</v>
      </c>
    </row>
    <row r="197" spans="1:61" ht="12.75">
      <c r="A197" s="6" t="s">
        <v>71</v>
      </c>
      <c r="B197" s="6" t="s">
        <v>155</v>
      </c>
      <c r="C197" s="149" t="s">
        <v>279</v>
      </c>
      <c r="D197" s="150"/>
      <c r="E197" s="150"/>
      <c r="F197" s="6" t="s">
        <v>305</v>
      </c>
      <c r="G197" s="70">
        <v>1</v>
      </c>
      <c r="H197" s="17">
        <v>0</v>
      </c>
      <c r="I197" s="17">
        <f>G197*AN197</f>
        <v>0</v>
      </c>
      <c r="J197" s="17">
        <f>G197*AO197</f>
        <v>0</v>
      </c>
      <c r="K197" s="17">
        <f>G197*H197</f>
        <v>0</v>
      </c>
      <c r="Y197" s="29">
        <f>IF(AP197="5",BI197,0)</f>
        <v>0</v>
      </c>
      <c r="AA197" s="29">
        <f>IF(AP197="1",BG197,0)</f>
        <v>0</v>
      </c>
      <c r="AB197" s="29">
        <f>IF(AP197="1",BH197,0)</f>
        <v>0</v>
      </c>
      <c r="AC197" s="29">
        <f>IF(AP197="7",BG197,0)</f>
        <v>0</v>
      </c>
      <c r="AD197" s="29">
        <f>IF(AP197="7",BH197,0)</f>
        <v>0</v>
      </c>
      <c r="AE197" s="29">
        <f>IF(AP197="2",BG197,0)</f>
        <v>0</v>
      </c>
      <c r="AF197" s="29">
        <f>IF(AP197="2",BH197,0)</f>
        <v>0</v>
      </c>
      <c r="AG197" s="29">
        <f>IF(AP197="0",BI197,0)</f>
        <v>0</v>
      </c>
      <c r="AH197" s="25"/>
      <c r="AI197" s="17">
        <f>IF(AM197=0,K197,0)</f>
        <v>0</v>
      </c>
      <c r="AJ197" s="17">
        <f>IF(AM197=15,K197,0)</f>
        <v>0</v>
      </c>
      <c r="AK197" s="17">
        <f>IF(AM197=21,K197,0)</f>
        <v>0</v>
      </c>
      <c r="AM197" s="29">
        <v>21</v>
      </c>
      <c r="AN197" s="29">
        <f>H197*1</f>
        <v>0</v>
      </c>
      <c r="AO197" s="29">
        <f>H197*(1-1)</f>
        <v>0</v>
      </c>
      <c r="AP197" s="26" t="s">
        <v>13</v>
      </c>
      <c r="AU197" s="29">
        <f>AV197+AW197</f>
        <v>0</v>
      </c>
      <c r="AV197" s="29">
        <f>G197*AN197</f>
        <v>0</v>
      </c>
      <c r="AW197" s="29">
        <f>G197*AO197</f>
        <v>0</v>
      </c>
      <c r="AX197" s="30" t="s">
        <v>333</v>
      </c>
      <c r="AY197" s="30" t="s">
        <v>335</v>
      </c>
      <c r="AZ197" s="25" t="s">
        <v>337</v>
      </c>
      <c r="BB197" s="29">
        <f>AV197+AW197</f>
        <v>0</v>
      </c>
      <c r="BC197" s="29">
        <f>H197/(100-BD197)*100</f>
        <v>0</v>
      </c>
      <c r="BD197" s="29">
        <v>0</v>
      </c>
      <c r="BE197" s="29">
        <f>197</f>
        <v>197</v>
      </c>
      <c r="BG197" s="17">
        <f>G197*AN197</f>
        <v>0</v>
      </c>
      <c r="BH197" s="17">
        <f>G197*AO197</f>
        <v>0</v>
      </c>
      <c r="BI197" s="17">
        <f>G197*H197</f>
        <v>0</v>
      </c>
    </row>
    <row r="198" spans="3:7" ht="12.75">
      <c r="C198" s="142" t="s">
        <v>186</v>
      </c>
      <c r="D198" s="143"/>
      <c r="E198" s="143"/>
      <c r="G198" s="69">
        <v>1</v>
      </c>
    </row>
    <row r="199" spans="1:61" ht="12.75">
      <c r="A199" s="6" t="s">
        <v>72</v>
      </c>
      <c r="B199" s="6" t="s">
        <v>156</v>
      </c>
      <c r="C199" s="149" t="s">
        <v>280</v>
      </c>
      <c r="D199" s="150"/>
      <c r="E199" s="150"/>
      <c r="F199" s="6" t="s">
        <v>305</v>
      </c>
      <c r="G199" s="70">
        <v>1</v>
      </c>
      <c r="H199" s="17">
        <v>0</v>
      </c>
      <c r="I199" s="17">
        <f>G199*AN199</f>
        <v>0</v>
      </c>
      <c r="J199" s="17">
        <f>G199*AO199</f>
        <v>0</v>
      </c>
      <c r="K199" s="17">
        <f>G199*H199</f>
        <v>0</v>
      </c>
      <c r="Y199" s="29">
        <f>IF(AP199="5",BI199,0)</f>
        <v>0</v>
      </c>
      <c r="AA199" s="29">
        <f>IF(AP199="1",BG199,0)</f>
        <v>0</v>
      </c>
      <c r="AB199" s="29">
        <f>IF(AP199="1",BH199,0)</f>
        <v>0</v>
      </c>
      <c r="AC199" s="29">
        <f>IF(AP199="7",BG199,0)</f>
        <v>0</v>
      </c>
      <c r="AD199" s="29">
        <f>IF(AP199="7",BH199,0)</f>
        <v>0</v>
      </c>
      <c r="AE199" s="29">
        <f>IF(AP199="2",BG199,0)</f>
        <v>0</v>
      </c>
      <c r="AF199" s="29">
        <f>IF(AP199="2",BH199,0)</f>
        <v>0</v>
      </c>
      <c r="AG199" s="29">
        <f>IF(AP199="0",BI199,0)</f>
        <v>0</v>
      </c>
      <c r="AH199" s="25"/>
      <c r="AI199" s="17">
        <f>IF(AM199=0,K199,0)</f>
        <v>0</v>
      </c>
      <c r="AJ199" s="17">
        <f>IF(AM199=15,K199,0)</f>
        <v>0</v>
      </c>
      <c r="AK199" s="17">
        <f>IF(AM199=21,K199,0)</f>
        <v>0</v>
      </c>
      <c r="AM199" s="29">
        <v>21</v>
      </c>
      <c r="AN199" s="29">
        <f>H199*1</f>
        <v>0</v>
      </c>
      <c r="AO199" s="29">
        <f>H199*(1-1)</f>
        <v>0</v>
      </c>
      <c r="AP199" s="26" t="s">
        <v>13</v>
      </c>
      <c r="AU199" s="29">
        <f>AV199+AW199</f>
        <v>0</v>
      </c>
      <c r="AV199" s="29">
        <f>G199*AN199</f>
        <v>0</v>
      </c>
      <c r="AW199" s="29">
        <f>G199*AO199</f>
        <v>0</v>
      </c>
      <c r="AX199" s="30" t="s">
        <v>333</v>
      </c>
      <c r="AY199" s="30" t="s">
        <v>335</v>
      </c>
      <c r="AZ199" s="25" t="s">
        <v>337</v>
      </c>
      <c r="BB199" s="29">
        <f>AV199+AW199</f>
        <v>0</v>
      </c>
      <c r="BC199" s="29">
        <f>H199/(100-BD199)*100</f>
        <v>0</v>
      </c>
      <c r="BD199" s="29">
        <v>0</v>
      </c>
      <c r="BE199" s="29">
        <f>199</f>
        <v>199</v>
      </c>
      <c r="BG199" s="17">
        <f>G199*AN199</f>
        <v>0</v>
      </c>
      <c r="BH199" s="17">
        <f>G199*AO199</f>
        <v>0</v>
      </c>
      <c r="BI199" s="17">
        <f>G199*H199</f>
        <v>0</v>
      </c>
    </row>
    <row r="200" spans="3:7" ht="12.75">
      <c r="C200" s="142" t="s">
        <v>186</v>
      </c>
      <c r="D200" s="143"/>
      <c r="E200" s="143"/>
      <c r="G200" s="69">
        <v>1</v>
      </c>
    </row>
    <row r="201" spans="1:61" ht="12.75">
      <c r="A201" s="6" t="s">
        <v>73</v>
      </c>
      <c r="B201" s="6" t="s">
        <v>157</v>
      </c>
      <c r="C201" s="149" t="s">
        <v>281</v>
      </c>
      <c r="D201" s="150"/>
      <c r="E201" s="150"/>
      <c r="F201" s="6" t="s">
        <v>305</v>
      </c>
      <c r="G201" s="70">
        <v>1</v>
      </c>
      <c r="H201" s="17">
        <v>0</v>
      </c>
      <c r="I201" s="17">
        <f>G201*AN201</f>
        <v>0</v>
      </c>
      <c r="J201" s="17">
        <f>G201*AO201</f>
        <v>0</v>
      </c>
      <c r="K201" s="17">
        <f>G201*H201</f>
        <v>0</v>
      </c>
      <c r="Y201" s="29">
        <f>IF(AP201="5",BI201,0)</f>
        <v>0</v>
      </c>
      <c r="AA201" s="29">
        <f>IF(AP201="1",BG201,0)</f>
        <v>0</v>
      </c>
      <c r="AB201" s="29">
        <f>IF(AP201="1",BH201,0)</f>
        <v>0</v>
      </c>
      <c r="AC201" s="29">
        <f>IF(AP201="7",BG201,0)</f>
        <v>0</v>
      </c>
      <c r="AD201" s="29">
        <f>IF(AP201="7",BH201,0)</f>
        <v>0</v>
      </c>
      <c r="AE201" s="29">
        <f>IF(AP201="2",BG201,0)</f>
        <v>0</v>
      </c>
      <c r="AF201" s="29">
        <f>IF(AP201="2",BH201,0)</f>
        <v>0</v>
      </c>
      <c r="AG201" s="29">
        <f>IF(AP201="0",BI201,0)</f>
        <v>0</v>
      </c>
      <c r="AH201" s="25"/>
      <c r="AI201" s="17">
        <f>IF(AM201=0,K201,0)</f>
        <v>0</v>
      </c>
      <c r="AJ201" s="17">
        <f>IF(AM201=15,K201,0)</f>
        <v>0</v>
      </c>
      <c r="AK201" s="17">
        <f>IF(AM201=21,K201,0)</f>
        <v>0</v>
      </c>
      <c r="AM201" s="29">
        <v>21</v>
      </c>
      <c r="AN201" s="29">
        <f>H201*1</f>
        <v>0</v>
      </c>
      <c r="AO201" s="29">
        <f>H201*(1-1)</f>
        <v>0</v>
      </c>
      <c r="AP201" s="26" t="s">
        <v>13</v>
      </c>
      <c r="AU201" s="29">
        <f>AV201+AW201</f>
        <v>0</v>
      </c>
      <c r="AV201" s="29">
        <f>G201*AN201</f>
        <v>0</v>
      </c>
      <c r="AW201" s="29">
        <f>G201*AO201</f>
        <v>0</v>
      </c>
      <c r="AX201" s="30" t="s">
        <v>333</v>
      </c>
      <c r="AY201" s="30" t="s">
        <v>335</v>
      </c>
      <c r="AZ201" s="25" t="s">
        <v>337</v>
      </c>
      <c r="BB201" s="29">
        <f>AV201+AW201</f>
        <v>0</v>
      </c>
      <c r="BC201" s="29">
        <f>H201/(100-BD201)*100</f>
        <v>0</v>
      </c>
      <c r="BD201" s="29">
        <v>0</v>
      </c>
      <c r="BE201" s="29">
        <f>201</f>
        <v>201</v>
      </c>
      <c r="BG201" s="17">
        <f>G201*AN201</f>
        <v>0</v>
      </c>
      <c r="BH201" s="17">
        <f>G201*AO201</f>
        <v>0</v>
      </c>
      <c r="BI201" s="17">
        <f>G201*H201</f>
        <v>0</v>
      </c>
    </row>
    <row r="202" spans="3:7" ht="12.75">
      <c r="C202" s="142" t="s">
        <v>186</v>
      </c>
      <c r="D202" s="143"/>
      <c r="E202" s="143"/>
      <c r="G202" s="69">
        <v>1</v>
      </c>
    </row>
    <row r="203" spans="1:61" ht="12.75">
      <c r="A203" s="4" t="s">
        <v>74</v>
      </c>
      <c r="B203" s="4" t="s">
        <v>158</v>
      </c>
      <c r="C203" s="140" t="s">
        <v>282</v>
      </c>
      <c r="D203" s="141"/>
      <c r="E203" s="141"/>
      <c r="F203" s="4" t="s">
        <v>308</v>
      </c>
      <c r="G203" s="68">
        <v>1</v>
      </c>
      <c r="H203" s="16">
        <v>0</v>
      </c>
      <c r="I203" s="16">
        <f>G203*AN203</f>
        <v>0</v>
      </c>
      <c r="J203" s="16">
        <f>G203*AO203</f>
        <v>0</v>
      </c>
      <c r="K203" s="16">
        <f>G203*H203</f>
        <v>0</v>
      </c>
      <c r="Y203" s="29">
        <f>IF(AP203="5",BI203,0)</f>
        <v>0</v>
      </c>
      <c r="AA203" s="29">
        <f>IF(AP203="1",BG203,0)</f>
        <v>0</v>
      </c>
      <c r="AB203" s="29">
        <f>IF(AP203="1",BH203,0)</f>
        <v>0</v>
      </c>
      <c r="AC203" s="29">
        <f>IF(AP203="7",BG203,0)</f>
        <v>0</v>
      </c>
      <c r="AD203" s="29">
        <f>IF(AP203="7",BH203,0)</f>
        <v>0</v>
      </c>
      <c r="AE203" s="29">
        <f>IF(AP203="2",BG203,0)</f>
        <v>0</v>
      </c>
      <c r="AF203" s="29">
        <f>IF(AP203="2",BH203,0)</f>
        <v>0</v>
      </c>
      <c r="AG203" s="29">
        <f>IF(AP203="0",BI203,0)</f>
        <v>0</v>
      </c>
      <c r="AH203" s="25"/>
      <c r="AI203" s="16">
        <f>IF(AM203=0,K203,0)</f>
        <v>0</v>
      </c>
      <c r="AJ203" s="16">
        <f>IF(AM203=15,K203,0)</f>
        <v>0</v>
      </c>
      <c r="AK203" s="16">
        <f>IF(AM203=21,K203,0)</f>
        <v>0</v>
      </c>
      <c r="AM203" s="29">
        <v>21</v>
      </c>
      <c r="AN203" s="29">
        <f>H203*0.042111801242236</f>
        <v>0</v>
      </c>
      <c r="AO203" s="29">
        <f>H203*(1-0.042111801242236)</f>
        <v>0</v>
      </c>
      <c r="AP203" s="24" t="s">
        <v>13</v>
      </c>
      <c r="AU203" s="29">
        <f>AV203+AW203</f>
        <v>0</v>
      </c>
      <c r="AV203" s="29">
        <f>G203*AN203</f>
        <v>0</v>
      </c>
      <c r="AW203" s="29">
        <f>G203*AO203</f>
        <v>0</v>
      </c>
      <c r="AX203" s="30" t="s">
        <v>333</v>
      </c>
      <c r="AY203" s="30" t="s">
        <v>335</v>
      </c>
      <c r="AZ203" s="25" t="s">
        <v>337</v>
      </c>
      <c r="BB203" s="29">
        <f>AV203+AW203</f>
        <v>0</v>
      </c>
      <c r="BC203" s="29">
        <f>H203/(100-BD203)*100</f>
        <v>0</v>
      </c>
      <c r="BD203" s="29">
        <v>0</v>
      </c>
      <c r="BE203" s="29">
        <f>203</f>
        <v>203</v>
      </c>
      <c r="BG203" s="16">
        <f>G203*AN203</f>
        <v>0</v>
      </c>
      <c r="BH203" s="16">
        <f>G203*AO203</f>
        <v>0</v>
      </c>
      <c r="BI203" s="16">
        <f>G203*H203</f>
        <v>0</v>
      </c>
    </row>
    <row r="204" spans="3:5" ht="12.75">
      <c r="C204" s="151" t="s">
        <v>283</v>
      </c>
      <c r="D204" s="152"/>
      <c r="E204" s="152"/>
    </row>
    <row r="205" spans="3:7" ht="12.75">
      <c r="C205" s="142" t="s">
        <v>186</v>
      </c>
      <c r="D205" s="143"/>
      <c r="E205" s="143"/>
      <c r="G205" s="69">
        <v>1</v>
      </c>
    </row>
    <row r="206" spans="1:61" ht="12.75">
      <c r="A206" s="6" t="s">
        <v>75</v>
      </c>
      <c r="B206" s="6" t="s">
        <v>159</v>
      </c>
      <c r="C206" s="149" t="s">
        <v>284</v>
      </c>
      <c r="D206" s="150"/>
      <c r="E206" s="150"/>
      <c r="F206" s="6" t="s">
        <v>305</v>
      </c>
      <c r="G206" s="70">
        <v>2</v>
      </c>
      <c r="H206" s="17">
        <v>0</v>
      </c>
      <c r="I206" s="17">
        <f>G206*AN206</f>
        <v>0</v>
      </c>
      <c r="J206" s="17">
        <f>G206*AO206</f>
        <v>0</v>
      </c>
      <c r="K206" s="17">
        <f>G206*H206</f>
        <v>0</v>
      </c>
      <c r="Y206" s="29">
        <f>IF(AP206="5",BI206,0)</f>
        <v>0</v>
      </c>
      <c r="AA206" s="29">
        <f>IF(AP206="1",BG206,0)</f>
        <v>0</v>
      </c>
      <c r="AB206" s="29">
        <f>IF(AP206="1",BH206,0)</f>
        <v>0</v>
      </c>
      <c r="AC206" s="29">
        <f>IF(AP206="7",BG206,0)</f>
        <v>0</v>
      </c>
      <c r="AD206" s="29">
        <f>IF(AP206="7",BH206,0)</f>
        <v>0</v>
      </c>
      <c r="AE206" s="29">
        <f>IF(AP206="2",BG206,0)</f>
        <v>0</v>
      </c>
      <c r="AF206" s="29">
        <f>IF(AP206="2",BH206,0)</f>
        <v>0</v>
      </c>
      <c r="AG206" s="29">
        <f>IF(AP206="0",BI206,0)</f>
        <v>0</v>
      </c>
      <c r="AH206" s="25"/>
      <c r="AI206" s="17">
        <f>IF(AM206=0,K206,0)</f>
        <v>0</v>
      </c>
      <c r="AJ206" s="17">
        <f>IF(AM206=15,K206,0)</f>
        <v>0</v>
      </c>
      <c r="AK206" s="17">
        <f>IF(AM206=21,K206,0)</f>
        <v>0</v>
      </c>
      <c r="AM206" s="29">
        <v>21</v>
      </c>
      <c r="AN206" s="29">
        <f>H206*1</f>
        <v>0</v>
      </c>
      <c r="AO206" s="29">
        <f>H206*(1-1)</f>
        <v>0</v>
      </c>
      <c r="AP206" s="26" t="s">
        <v>13</v>
      </c>
      <c r="AU206" s="29">
        <f>AV206+AW206</f>
        <v>0</v>
      </c>
      <c r="AV206" s="29">
        <f>G206*AN206</f>
        <v>0</v>
      </c>
      <c r="AW206" s="29">
        <f>G206*AO206</f>
        <v>0</v>
      </c>
      <c r="AX206" s="30" t="s">
        <v>333</v>
      </c>
      <c r="AY206" s="30" t="s">
        <v>335</v>
      </c>
      <c r="AZ206" s="25" t="s">
        <v>337</v>
      </c>
      <c r="BB206" s="29">
        <f>AV206+AW206</f>
        <v>0</v>
      </c>
      <c r="BC206" s="29">
        <f>H206/(100-BD206)*100</f>
        <v>0</v>
      </c>
      <c r="BD206" s="29">
        <v>0</v>
      </c>
      <c r="BE206" s="29">
        <f>206</f>
        <v>206</v>
      </c>
      <c r="BG206" s="17">
        <f>G206*AN206</f>
        <v>0</v>
      </c>
      <c r="BH206" s="17">
        <f>G206*AO206</f>
        <v>0</v>
      </c>
      <c r="BI206" s="17">
        <f>G206*H206</f>
        <v>0</v>
      </c>
    </row>
    <row r="207" spans="3:7" ht="12.75">
      <c r="C207" s="142" t="s">
        <v>193</v>
      </c>
      <c r="D207" s="143"/>
      <c r="E207" s="143"/>
      <c r="G207" s="69">
        <v>2</v>
      </c>
    </row>
    <row r="208" spans="1:61" ht="12.75">
      <c r="A208" s="4" t="s">
        <v>76</v>
      </c>
      <c r="B208" s="4" t="s">
        <v>160</v>
      </c>
      <c r="C208" s="140" t="s">
        <v>285</v>
      </c>
      <c r="D208" s="141"/>
      <c r="E208" s="141"/>
      <c r="F208" s="4" t="s">
        <v>305</v>
      </c>
      <c r="G208" s="68">
        <v>2</v>
      </c>
      <c r="H208" s="16">
        <v>0</v>
      </c>
      <c r="I208" s="16">
        <f>G208*AN208</f>
        <v>0</v>
      </c>
      <c r="J208" s="16">
        <f>G208*AO208</f>
        <v>0</v>
      </c>
      <c r="K208" s="16">
        <f>G208*H208</f>
        <v>0</v>
      </c>
      <c r="Y208" s="29">
        <f>IF(AP208="5",BI208,0)</f>
        <v>0</v>
      </c>
      <c r="AA208" s="29">
        <f>IF(AP208="1",BG208,0)</f>
        <v>0</v>
      </c>
      <c r="AB208" s="29">
        <f>IF(AP208="1",BH208,0)</f>
        <v>0</v>
      </c>
      <c r="AC208" s="29">
        <f>IF(AP208="7",BG208,0)</f>
        <v>0</v>
      </c>
      <c r="AD208" s="29">
        <f>IF(AP208="7",BH208,0)</f>
        <v>0</v>
      </c>
      <c r="AE208" s="29">
        <f>IF(AP208="2",BG208,0)</f>
        <v>0</v>
      </c>
      <c r="AF208" s="29">
        <f>IF(AP208="2",BH208,0)</f>
        <v>0</v>
      </c>
      <c r="AG208" s="29">
        <f>IF(AP208="0",BI208,0)</f>
        <v>0</v>
      </c>
      <c r="AH208" s="25"/>
      <c r="AI208" s="16">
        <f>IF(AM208=0,K208,0)</f>
        <v>0</v>
      </c>
      <c r="AJ208" s="16">
        <f>IF(AM208=15,K208,0)</f>
        <v>0</v>
      </c>
      <c r="AK208" s="16">
        <f>IF(AM208=21,K208,0)</f>
        <v>0</v>
      </c>
      <c r="AM208" s="29">
        <v>21</v>
      </c>
      <c r="AN208" s="29">
        <f>H208*0.493591397849462</f>
        <v>0</v>
      </c>
      <c r="AO208" s="29">
        <f>H208*(1-0.493591397849462)</f>
        <v>0</v>
      </c>
      <c r="AP208" s="24" t="s">
        <v>13</v>
      </c>
      <c r="AU208" s="29">
        <f>AV208+AW208</f>
        <v>0</v>
      </c>
      <c r="AV208" s="29">
        <f>G208*AN208</f>
        <v>0</v>
      </c>
      <c r="AW208" s="29">
        <f>G208*AO208</f>
        <v>0</v>
      </c>
      <c r="AX208" s="30" t="s">
        <v>333</v>
      </c>
      <c r="AY208" s="30" t="s">
        <v>335</v>
      </c>
      <c r="AZ208" s="25" t="s">
        <v>337</v>
      </c>
      <c r="BB208" s="29">
        <f>AV208+AW208</f>
        <v>0</v>
      </c>
      <c r="BC208" s="29">
        <f>H208/(100-BD208)*100</f>
        <v>0</v>
      </c>
      <c r="BD208" s="29">
        <v>0</v>
      </c>
      <c r="BE208" s="29">
        <f>208</f>
        <v>208</v>
      </c>
      <c r="BG208" s="16">
        <f>G208*AN208</f>
        <v>0</v>
      </c>
      <c r="BH208" s="16">
        <f>G208*AO208</f>
        <v>0</v>
      </c>
      <c r="BI208" s="16">
        <f>G208*H208</f>
        <v>0</v>
      </c>
    </row>
    <row r="209" spans="3:7" ht="12.75">
      <c r="C209" s="142" t="s">
        <v>193</v>
      </c>
      <c r="D209" s="143"/>
      <c r="E209" s="143"/>
      <c r="G209" s="69">
        <v>2</v>
      </c>
    </row>
    <row r="210" spans="1:61" ht="12.75">
      <c r="A210" s="4" t="s">
        <v>77</v>
      </c>
      <c r="B210" s="4" t="s">
        <v>161</v>
      </c>
      <c r="C210" s="140" t="s">
        <v>286</v>
      </c>
      <c r="D210" s="141"/>
      <c r="E210" s="141"/>
      <c r="F210" s="4" t="s">
        <v>305</v>
      </c>
      <c r="G210" s="68">
        <v>2</v>
      </c>
      <c r="H210" s="16">
        <v>0</v>
      </c>
      <c r="I210" s="16">
        <f>G210*AN210</f>
        <v>0</v>
      </c>
      <c r="J210" s="16">
        <f>G210*AO210</f>
        <v>0</v>
      </c>
      <c r="K210" s="16">
        <f>G210*H210</f>
        <v>0</v>
      </c>
      <c r="Y210" s="29">
        <f>IF(AP210="5",BI210,0)</f>
        <v>0</v>
      </c>
      <c r="AA210" s="29">
        <f>IF(AP210="1",BG210,0)</f>
        <v>0</v>
      </c>
      <c r="AB210" s="29">
        <f>IF(AP210="1",BH210,0)</f>
        <v>0</v>
      </c>
      <c r="AC210" s="29">
        <f>IF(AP210="7",BG210,0)</f>
        <v>0</v>
      </c>
      <c r="AD210" s="29">
        <f>IF(AP210="7",BH210,0)</f>
        <v>0</v>
      </c>
      <c r="AE210" s="29">
        <f>IF(AP210="2",BG210,0)</f>
        <v>0</v>
      </c>
      <c r="AF210" s="29">
        <f>IF(AP210="2",BH210,0)</f>
        <v>0</v>
      </c>
      <c r="AG210" s="29">
        <f>IF(AP210="0",BI210,0)</f>
        <v>0</v>
      </c>
      <c r="AH210" s="25"/>
      <c r="AI210" s="16">
        <f>IF(AM210=0,K210,0)</f>
        <v>0</v>
      </c>
      <c r="AJ210" s="16">
        <f>IF(AM210=15,K210,0)</f>
        <v>0</v>
      </c>
      <c r="AK210" s="16">
        <f>IF(AM210=21,K210,0)</f>
        <v>0</v>
      </c>
      <c r="AM210" s="29">
        <v>21</v>
      </c>
      <c r="AN210" s="29">
        <f>H210*0.824791666666667</f>
        <v>0</v>
      </c>
      <c r="AO210" s="29">
        <f>H210*(1-0.824791666666667)</f>
        <v>0</v>
      </c>
      <c r="AP210" s="24" t="s">
        <v>13</v>
      </c>
      <c r="AU210" s="29">
        <f>AV210+AW210</f>
        <v>0</v>
      </c>
      <c r="AV210" s="29">
        <f>G210*AN210</f>
        <v>0</v>
      </c>
      <c r="AW210" s="29">
        <f>G210*AO210</f>
        <v>0</v>
      </c>
      <c r="AX210" s="30" t="s">
        <v>333</v>
      </c>
      <c r="AY210" s="30" t="s">
        <v>335</v>
      </c>
      <c r="AZ210" s="25" t="s">
        <v>337</v>
      </c>
      <c r="BB210" s="29">
        <f>AV210+AW210</f>
        <v>0</v>
      </c>
      <c r="BC210" s="29">
        <f>H210/(100-BD210)*100</f>
        <v>0</v>
      </c>
      <c r="BD210" s="29">
        <v>0</v>
      </c>
      <c r="BE210" s="29">
        <f>210</f>
        <v>210</v>
      </c>
      <c r="BG210" s="16">
        <f>G210*AN210</f>
        <v>0</v>
      </c>
      <c r="BH210" s="16">
        <f>G210*AO210</f>
        <v>0</v>
      </c>
      <c r="BI210" s="16">
        <f>G210*H210</f>
        <v>0</v>
      </c>
    </row>
    <row r="211" spans="3:7" ht="12.75">
      <c r="C211" s="142" t="s">
        <v>193</v>
      </c>
      <c r="D211" s="143"/>
      <c r="E211" s="143"/>
      <c r="G211" s="69">
        <v>2</v>
      </c>
    </row>
    <row r="212" spans="1:61" ht="12.75">
      <c r="A212" s="4" t="s">
        <v>78</v>
      </c>
      <c r="B212" s="4" t="s">
        <v>162</v>
      </c>
      <c r="C212" s="140" t="s">
        <v>287</v>
      </c>
      <c r="D212" s="141"/>
      <c r="E212" s="141"/>
      <c r="F212" s="4" t="s">
        <v>307</v>
      </c>
      <c r="G212" s="68">
        <v>0.308</v>
      </c>
      <c r="H212" s="16">
        <v>0</v>
      </c>
      <c r="I212" s="16">
        <f>G212*AN212</f>
        <v>0</v>
      </c>
      <c r="J212" s="16">
        <f>G212*AO212</f>
        <v>0</v>
      </c>
      <c r="K212" s="16">
        <f>G212*H212</f>
        <v>0</v>
      </c>
      <c r="Y212" s="29">
        <f>IF(AP212="5",BI212,0)</f>
        <v>0</v>
      </c>
      <c r="AA212" s="29">
        <f>IF(AP212="1",BG212,0)</f>
        <v>0</v>
      </c>
      <c r="AB212" s="29">
        <f>IF(AP212="1",BH212,0)</f>
        <v>0</v>
      </c>
      <c r="AC212" s="29">
        <f>IF(AP212="7",BG212,0)</f>
        <v>0</v>
      </c>
      <c r="AD212" s="29">
        <f>IF(AP212="7",BH212,0)</f>
        <v>0</v>
      </c>
      <c r="AE212" s="29">
        <f>IF(AP212="2",BG212,0)</f>
        <v>0</v>
      </c>
      <c r="AF212" s="29">
        <f>IF(AP212="2",BH212,0)</f>
        <v>0</v>
      </c>
      <c r="AG212" s="29">
        <f>IF(AP212="0",BI212,0)</f>
        <v>0</v>
      </c>
      <c r="AH212" s="25"/>
      <c r="AI212" s="16">
        <f>IF(AM212=0,K212,0)</f>
        <v>0</v>
      </c>
      <c r="AJ212" s="16">
        <f>IF(AM212=15,K212,0)</f>
        <v>0</v>
      </c>
      <c r="AK212" s="16">
        <f>IF(AM212=21,K212,0)</f>
        <v>0</v>
      </c>
      <c r="AM212" s="29">
        <v>21</v>
      </c>
      <c r="AN212" s="29">
        <f>H212*0</f>
        <v>0</v>
      </c>
      <c r="AO212" s="29">
        <f>H212*(1-0)</f>
        <v>0</v>
      </c>
      <c r="AP212" s="24" t="s">
        <v>11</v>
      </c>
      <c r="AU212" s="29">
        <f>AV212+AW212</f>
        <v>0</v>
      </c>
      <c r="AV212" s="29">
        <f>G212*AN212</f>
        <v>0</v>
      </c>
      <c r="AW212" s="29">
        <f>G212*AO212</f>
        <v>0</v>
      </c>
      <c r="AX212" s="30" t="s">
        <v>333</v>
      </c>
      <c r="AY212" s="30" t="s">
        <v>335</v>
      </c>
      <c r="AZ212" s="25" t="s">
        <v>337</v>
      </c>
      <c r="BB212" s="29">
        <f>AV212+AW212</f>
        <v>0</v>
      </c>
      <c r="BC212" s="29">
        <f>H212/(100-BD212)*100</f>
        <v>0</v>
      </c>
      <c r="BD212" s="29">
        <v>0</v>
      </c>
      <c r="BE212" s="29">
        <f>212</f>
        <v>212</v>
      </c>
      <c r="BG212" s="16">
        <f>G212*AN212</f>
        <v>0</v>
      </c>
      <c r="BH212" s="16">
        <f>G212*AO212</f>
        <v>0</v>
      </c>
      <c r="BI212" s="16">
        <f>G212*H212</f>
        <v>0</v>
      </c>
    </row>
    <row r="213" spans="1:46" ht="12.75">
      <c r="A213" s="5"/>
      <c r="B213" s="13" t="s">
        <v>163</v>
      </c>
      <c r="C213" s="147" t="s">
        <v>288</v>
      </c>
      <c r="D213" s="148"/>
      <c r="E213" s="148"/>
      <c r="F213" s="5" t="s">
        <v>6</v>
      </c>
      <c r="G213" s="5" t="s">
        <v>6</v>
      </c>
      <c r="H213" s="5" t="s">
        <v>6</v>
      </c>
      <c r="I213" s="32">
        <f>SUM(I214:I223)</f>
        <v>0</v>
      </c>
      <c r="J213" s="32">
        <f>SUM(J214:J223)</f>
        <v>0</v>
      </c>
      <c r="K213" s="32">
        <f>SUM(K214:K223)</f>
        <v>0</v>
      </c>
      <c r="AH213" s="25"/>
      <c r="AR213" s="32">
        <f>SUM(AI214:AI223)</f>
        <v>0</v>
      </c>
      <c r="AS213" s="32">
        <f>SUM(AJ214:AJ223)</f>
        <v>0</v>
      </c>
      <c r="AT213" s="32">
        <f>SUM(AK214:AK223)</f>
        <v>0</v>
      </c>
    </row>
    <row r="214" spans="1:61" ht="12.75">
      <c r="A214" s="4" t="s">
        <v>79</v>
      </c>
      <c r="B214" s="4" t="s">
        <v>164</v>
      </c>
      <c r="C214" s="140" t="s">
        <v>289</v>
      </c>
      <c r="D214" s="141"/>
      <c r="E214" s="141"/>
      <c r="F214" s="4" t="s">
        <v>307</v>
      </c>
      <c r="G214" s="68">
        <v>0.46</v>
      </c>
      <c r="H214" s="16">
        <v>0</v>
      </c>
      <c r="I214" s="16">
        <f>G214*AN214</f>
        <v>0</v>
      </c>
      <c r="J214" s="16">
        <f>G214*AO214</f>
        <v>0</v>
      </c>
      <c r="K214" s="16">
        <f>G214*H214</f>
        <v>0</v>
      </c>
      <c r="Y214" s="29">
        <f>IF(AP214="5",BI214,0)</f>
        <v>0</v>
      </c>
      <c r="AA214" s="29">
        <f>IF(AP214="1",BG214,0)</f>
        <v>0</v>
      </c>
      <c r="AB214" s="29">
        <f>IF(AP214="1",BH214,0)</f>
        <v>0</v>
      </c>
      <c r="AC214" s="29">
        <f>IF(AP214="7",BG214,0)</f>
        <v>0</v>
      </c>
      <c r="AD214" s="29">
        <f>IF(AP214="7",BH214,0)</f>
        <v>0</v>
      </c>
      <c r="AE214" s="29">
        <f>IF(AP214="2",BG214,0)</f>
        <v>0</v>
      </c>
      <c r="AF214" s="29">
        <f>IF(AP214="2",BH214,0)</f>
        <v>0</v>
      </c>
      <c r="AG214" s="29">
        <f>IF(AP214="0",BI214,0)</f>
        <v>0</v>
      </c>
      <c r="AH214" s="25"/>
      <c r="AI214" s="16">
        <f>IF(AM214=0,K214,0)</f>
        <v>0</v>
      </c>
      <c r="AJ214" s="16">
        <f>IF(AM214=15,K214,0)</f>
        <v>0</v>
      </c>
      <c r="AK214" s="16">
        <f>IF(AM214=21,K214,0)</f>
        <v>0</v>
      </c>
      <c r="AM214" s="29">
        <v>21</v>
      </c>
      <c r="AN214" s="29">
        <f>H214*0</f>
        <v>0</v>
      </c>
      <c r="AO214" s="29">
        <f>H214*(1-0)</f>
        <v>0</v>
      </c>
      <c r="AP214" s="24" t="s">
        <v>11</v>
      </c>
      <c r="AU214" s="29">
        <f>AV214+AW214</f>
        <v>0</v>
      </c>
      <c r="AV214" s="29">
        <f>G214*AN214</f>
        <v>0</v>
      </c>
      <c r="AW214" s="29">
        <f>G214*AO214</f>
        <v>0</v>
      </c>
      <c r="AX214" s="30" t="s">
        <v>334</v>
      </c>
      <c r="AY214" s="30" t="s">
        <v>336</v>
      </c>
      <c r="AZ214" s="25" t="s">
        <v>337</v>
      </c>
      <c r="BB214" s="29">
        <f>AV214+AW214</f>
        <v>0</v>
      </c>
      <c r="BC214" s="29">
        <f>H214/(100-BD214)*100</f>
        <v>0</v>
      </c>
      <c r="BD214" s="29">
        <v>0</v>
      </c>
      <c r="BE214" s="29">
        <f>214</f>
        <v>214</v>
      </c>
      <c r="BG214" s="16">
        <f>G214*AN214</f>
        <v>0</v>
      </c>
      <c r="BH214" s="16">
        <f>G214*AO214</f>
        <v>0</v>
      </c>
      <c r="BI214" s="16">
        <f>G214*H214</f>
        <v>0</v>
      </c>
    </row>
    <row r="215" spans="1:61" ht="12.75">
      <c r="A215" s="4" t="s">
        <v>80</v>
      </c>
      <c r="B215" s="4" t="s">
        <v>165</v>
      </c>
      <c r="C215" s="140" t="s">
        <v>290</v>
      </c>
      <c r="D215" s="141"/>
      <c r="E215" s="141"/>
      <c r="F215" s="4" t="s">
        <v>307</v>
      </c>
      <c r="G215" s="68">
        <v>0.46</v>
      </c>
      <c r="H215" s="16">
        <v>0</v>
      </c>
      <c r="I215" s="16">
        <f>G215*AN215</f>
        <v>0</v>
      </c>
      <c r="J215" s="16">
        <f>G215*AO215</f>
        <v>0</v>
      </c>
      <c r="K215" s="16">
        <f>G215*H215</f>
        <v>0</v>
      </c>
      <c r="Y215" s="29">
        <f>IF(AP215="5",BI215,0)</f>
        <v>0</v>
      </c>
      <c r="AA215" s="29">
        <f>IF(AP215="1",BG215,0)</f>
        <v>0</v>
      </c>
      <c r="AB215" s="29">
        <f>IF(AP215="1",BH215,0)</f>
        <v>0</v>
      </c>
      <c r="AC215" s="29">
        <f>IF(AP215="7",BG215,0)</f>
        <v>0</v>
      </c>
      <c r="AD215" s="29">
        <f>IF(AP215="7",BH215,0)</f>
        <v>0</v>
      </c>
      <c r="AE215" s="29">
        <f>IF(AP215="2",BG215,0)</f>
        <v>0</v>
      </c>
      <c r="AF215" s="29">
        <f>IF(AP215="2",BH215,0)</f>
        <v>0</v>
      </c>
      <c r="AG215" s="29">
        <f>IF(AP215="0",BI215,0)</f>
        <v>0</v>
      </c>
      <c r="AH215" s="25"/>
      <c r="AI215" s="16">
        <f>IF(AM215=0,K215,0)</f>
        <v>0</v>
      </c>
      <c r="AJ215" s="16">
        <f>IF(AM215=15,K215,0)</f>
        <v>0</v>
      </c>
      <c r="AK215" s="16">
        <f>IF(AM215=21,K215,0)</f>
        <v>0</v>
      </c>
      <c r="AM215" s="29">
        <v>21</v>
      </c>
      <c r="AN215" s="29">
        <f>H215*0</f>
        <v>0</v>
      </c>
      <c r="AO215" s="29">
        <f>H215*(1-0)</f>
        <v>0</v>
      </c>
      <c r="AP215" s="24" t="s">
        <v>11</v>
      </c>
      <c r="AU215" s="29">
        <f>AV215+AW215</f>
        <v>0</v>
      </c>
      <c r="AV215" s="29">
        <f>G215*AN215</f>
        <v>0</v>
      </c>
      <c r="AW215" s="29">
        <f>G215*AO215</f>
        <v>0</v>
      </c>
      <c r="AX215" s="30" t="s">
        <v>334</v>
      </c>
      <c r="AY215" s="30" t="s">
        <v>336</v>
      </c>
      <c r="AZ215" s="25" t="s">
        <v>337</v>
      </c>
      <c r="BB215" s="29">
        <f>AV215+AW215</f>
        <v>0</v>
      </c>
      <c r="BC215" s="29">
        <f>H215/(100-BD215)*100</f>
        <v>0</v>
      </c>
      <c r="BD215" s="29">
        <v>0</v>
      </c>
      <c r="BE215" s="29">
        <f>215</f>
        <v>215</v>
      </c>
      <c r="BG215" s="16">
        <f>G215*AN215</f>
        <v>0</v>
      </c>
      <c r="BH215" s="16">
        <f>G215*AO215</f>
        <v>0</v>
      </c>
      <c r="BI215" s="16">
        <f>G215*H215</f>
        <v>0</v>
      </c>
    </row>
    <row r="216" spans="1:61" ht="12.75">
      <c r="A216" s="4" t="s">
        <v>81</v>
      </c>
      <c r="B216" s="4" t="s">
        <v>166</v>
      </c>
      <c r="C216" s="140" t="s">
        <v>291</v>
      </c>
      <c r="D216" s="141"/>
      <c r="E216" s="141"/>
      <c r="F216" s="4" t="s">
        <v>307</v>
      </c>
      <c r="G216" s="68">
        <v>0.46</v>
      </c>
      <c r="H216" s="16">
        <v>0</v>
      </c>
      <c r="I216" s="16">
        <f>G216*AN216</f>
        <v>0</v>
      </c>
      <c r="J216" s="16">
        <f>G216*AO216</f>
        <v>0</v>
      </c>
      <c r="K216" s="16">
        <f>G216*H216</f>
        <v>0</v>
      </c>
      <c r="Y216" s="29">
        <f>IF(AP216="5",BI216,0)</f>
        <v>0</v>
      </c>
      <c r="AA216" s="29">
        <f>IF(AP216="1",BG216,0)</f>
        <v>0</v>
      </c>
      <c r="AB216" s="29">
        <f>IF(AP216="1",BH216,0)</f>
        <v>0</v>
      </c>
      <c r="AC216" s="29">
        <f>IF(AP216="7",BG216,0)</f>
        <v>0</v>
      </c>
      <c r="AD216" s="29">
        <f>IF(AP216="7",BH216,0)</f>
        <v>0</v>
      </c>
      <c r="AE216" s="29">
        <f>IF(AP216="2",BG216,0)</f>
        <v>0</v>
      </c>
      <c r="AF216" s="29">
        <f>IF(AP216="2",BH216,0)</f>
        <v>0</v>
      </c>
      <c r="AG216" s="29">
        <f>IF(AP216="0",BI216,0)</f>
        <v>0</v>
      </c>
      <c r="AH216" s="25"/>
      <c r="AI216" s="16">
        <f>IF(AM216=0,K216,0)</f>
        <v>0</v>
      </c>
      <c r="AJ216" s="16">
        <f>IF(AM216=15,K216,0)</f>
        <v>0</v>
      </c>
      <c r="AK216" s="16">
        <f>IF(AM216=21,K216,0)</f>
        <v>0</v>
      </c>
      <c r="AM216" s="29">
        <v>21</v>
      </c>
      <c r="AN216" s="29">
        <f>H216*0</f>
        <v>0</v>
      </c>
      <c r="AO216" s="29">
        <f>H216*(1-0)</f>
        <v>0</v>
      </c>
      <c r="AP216" s="24" t="s">
        <v>11</v>
      </c>
      <c r="AU216" s="29">
        <f>AV216+AW216</f>
        <v>0</v>
      </c>
      <c r="AV216" s="29">
        <f>G216*AN216</f>
        <v>0</v>
      </c>
      <c r="AW216" s="29">
        <f>G216*AO216</f>
        <v>0</v>
      </c>
      <c r="AX216" s="30" t="s">
        <v>334</v>
      </c>
      <c r="AY216" s="30" t="s">
        <v>336</v>
      </c>
      <c r="AZ216" s="25" t="s">
        <v>337</v>
      </c>
      <c r="BB216" s="29">
        <f>AV216+AW216</f>
        <v>0</v>
      </c>
      <c r="BC216" s="29">
        <f>H216/(100-BD216)*100</f>
        <v>0</v>
      </c>
      <c r="BD216" s="29">
        <v>0</v>
      </c>
      <c r="BE216" s="29">
        <f>216</f>
        <v>216</v>
      </c>
      <c r="BG216" s="16">
        <f>G216*AN216</f>
        <v>0</v>
      </c>
      <c r="BH216" s="16">
        <f>G216*AO216</f>
        <v>0</v>
      </c>
      <c r="BI216" s="16">
        <f>G216*H216</f>
        <v>0</v>
      </c>
    </row>
    <row r="217" spans="1:61" ht="12.75">
      <c r="A217" s="4" t="s">
        <v>82</v>
      </c>
      <c r="B217" s="4" t="s">
        <v>167</v>
      </c>
      <c r="C217" s="140" t="s">
        <v>292</v>
      </c>
      <c r="D217" s="141"/>
      <c r="E217" s="141"/>
      <c r="F217" s="4" t="s">
        <v>307</v>
      </c>
      <c r="G217" s="68">
        <v>4.6</v>
      </c>
      <c r="H217" s="16">
        <v>0</v>
      </c>
      <c r="I217" s="16">
        <f>G217*AN217</f>
        <v>0</v>
      </c>
      <c r="J217" s="16">
        <f>G217*AO217</f>
        <v>0</v>
      </c>
      <c r="K217" s="16">
        <f>G217*H217</f>
        <v>0</v>
      </c>
      <c r="Y217" s="29">
        <f>IF(AP217="5",BI217,0)</f>
        <v>0</v>
      </c>
      <c r="AA217" s="29">
        <f>IF(AP217="1",BG217,0)</f>
        <v>0</v>
      </c>
      <c r="AB217" s="29">
        <f>IF(AP217="1",BH217,0)</f>
        <v>0</v>
      </c>
      <c r="AC217" s="29">
        <f>IF(AP217="7",BG217,0)</f>
        <v>0</v>
      </c>
      <c r="AD217" s="29">
        <f>IF(AP217="7",BH217,0)</f>
        <v>0</v>
      </c>
      <c r="AE217" s="29">
        <f>IF(AP217="2",BG217,0)</f>
        <v>0</v>
      </c>
      <c r="AF217" s="29">
        <f>IF(AP217="2",BH217,0)</f>
        <v>0</v>
      </c>
      <c r="AG217" s="29">
        <f>IF(AP217="0",BI217,0)</f>
        <v>0</v>
      </c>
      <c r="AH217" s="25"/>
      <c r="AI217" s="16">
        <f>IF(AM217=0,K217,0)</f>
        <v>0</v>
      </c>
      <c r="AJ217" s="16">
        <f>IF(AM217=15,K217,0)</f>
        <v>0</v>
      </c>
      <c r="AK217" s="16">
        <f>IF(AM217=21,K217,0)</f>
        <v>0</v>
      </c>
      <c r="AM217" s="29">
        <v>21</v>
      </c>
      <c r="AN217" s="29">
        <f>H217*0</f>
        <v>0</v>
      </c>
      <c r="AO217" s="29">
        <f>H217*(1-0)</f>
        <v>0</v>
      </c>
      <c r="AP217" s="24" t="s">
        <v>11</v>
      </c>
      <c r="AU217" s="29">
        <f>AV217+AW217</f>
        <v>0</v>
      </c>
      <c r="AV217" s="29">
        <f>G217*AN217</f>
        <v>0</v>
      </c>
      <c r="AW217" s="29">
        <f>G217*AO217</f>
        <v>0</v>
      </c>
      <c r="AX217" s="30" t="s">
        <v>334</v>
      </c>
      <c r="AY217" s="30" t="s">
        <v>336</v>
      </c>
      <c r="AZ217" s="25" t="s">
        <v>337</v>
      </c>
      <c r="BB217" s="29">
        <f>AV217+AW217</f>
        <v>0</v>
      </c>
      <c r="BC217" s="29">
        <f>H217/(100-BD217)*100</f>
        <v>0</v>
      </c>
      <c r="BD217" s="29">
        <v>0</v>
      </c>
      <c r="BE217" s="29">
        <f>217</f>
        <v>217</v>
      </c>
      <c r="BG217" s="16">
        <f>G217*AN217</f>
        <v>0</v>
      </c>
      <c r="BH217" s="16">
        <f>G217*AO217</f>
        <v>0</v>
      </c>
      <c r="BI217" s="16">
        <f>G217*H217</f>
        <v>0</v>
      </c>
    </row>
    <row r="218" spans="3:7" ht="12.75">
      <c r="C218" s="142" t="s">
        <v>293</v>
      </c>
      <c r="D218" s="143"/>
      <c r="E218" s="143"/>
      <c r="G218" s="69">
        <v>4.6</v>
      </c>
    </row>
    <row r="219" spans="1:61" ht="12.75">
      <c r="A219" s="4" t="s">
        <v>83</v>
      </c>
      <c r="B219" s="4" t="s">
        <v>168</v>
      </c>
      <c r="C219" s="140" t="s">
        <v>294</v>
      </c>
      <c r="D219" s="141"/>
      <c r="E219" s="141"/>
      <c r="F219" s="4" t="s">
        <v>307</v>
      </c>
      <c r="G219" s="68">
        <v>0.46</v>
      </c>
      <c r="H219" s="16">
        <v>0</v>
      </c>
      <c r="I219" s="16">
        <f>G219*AN219</f>
        <v>0</v>
      </c>
      <c r="J219" s="16">
        <f>G219*AO219</f>
        <v>0</v>
      </c>
      <c r="K219" s="16">
        <f>G219*H219</f>
        <v>0</v>
      </c>
      <c r="Y219" s="29">
        <f>IF(AP219="5",BI219,0)</f>
        <v>0</v>
      </c>
      <c r="AA219" s="29">
        <f>IF(AP219="1",BG219,0)</f>
        <v>0</v>
      </c>
      <c r="AB219" s="29">
        <f>IF(AP219="1",BH219,0)</f>
        <v>0</v>
      </c>
      <c r="AC219" s="29">
        <f>IF(AP219="7",BG219,0)</f>
        <v>0</v>
      </c>
      <c r="AD219" s="29">
        <f>IF(AP219="7",BH219,0)</f>
        <v>0</v>
      </c>
      <c r="AE219" s="29">
        <f>IF(AP219="2",BG219,0)</f>
        <v>0</v>
      </c>
      <c r="AF219" s="29">
        <f>IF(AP219="2",BH219,0)</f>
        <v>0</v>
      </c>
      <c r="AG219" s="29">
        <f>IF(AP219="0",BI219,0)</f>
        <v>0</v>
      </c>
      <c r="AH219" s="25"/>
      <c r="AI219" s="16">
        <f>IF(AM219=0,K219,0)</f>
        <v>0</v>
      </c>
      <c r="AJ219" s="16">
        <f>IF(AM219=15,K219,0)</f>
        <v>0</v>
      </c>
      <c r="AK219" s="16">
        <f>IF(AM219=21,K219,0)</f>
        <v>0</v>
      </c>
      <c r="AM219" s="29">
        <v>21</v>
      </c>
      <c r="AN219" s="29">
        <f>H219*0</f>
        <v>0</v>
      </c>
      <c r="AO219" s="29">
        <f>H219*(1-0)</f>
        <v>0</v>
      </c>
      <c r="AP219" s="24" t="s">
        <v>11</v>
      </c>
      <c r="AU219" s="29">
        <f>AV219+AW219</f>
        <v>0</v>
      </c>
      <c r="AV219" s="29">
        <f>G219*AN219</f>
        <v>0</v>
      </c>
      <c r="AW219" s="29">
        <f>G219*AO219</f>
        <v>0</v>
      </c>
      <c r="AX219" s="30" t="s">
        <v>334</v>
      </c>
      <c r="AY219" s="30" t="s">
        <v>336</v>
      </c>
      <c r="AZ219" s="25" t="s">
        <v>337</v>
      </c>
      <c r="BB219" s="29">
        <f>AV219+AW219</f>
        <v>0</v>
      </c>
      <c r="BC219" s="29">
        <f>H219/(100-BD219)*100</f>
        <v>0</v>
      </c>
      <c r="BD219" s="29">
        <v>0</v>
      </c>
      <c r="BE219" s="29">
        <f>219</f>
        <v>219</v>
      </c>
      <c r="BG219" s="16">
        <f>G219*AN219</f>
        <v>0</v>
      </c>
      <c r="BH219" s="16">
        <f>G219*AO219</f>
        <v>0</v>
      </c>
      <c r="BI219" s="16">
        <f>G219*H219</f>
        <v>0</v>
      </c>
    </row>
    <row r="220" spans="1:61" ht="12.75">
      <c r="A220" s="4" t="s">
        <v>84</v>
      </c>
      <c r="B220" s="4" t="s">
        <v>169</v>
      </c>
      <c r="C220" s="140" t="s">
        <v>295</v>
      </c>
      <c r="D220" s="141"/>
      <c r="E220" s="141"/>
      <c r="F220" s="4" t="s">
        <v>307</v>
      </c>
      <c r="G220" s="68">
        <v>8.74</v>
      </c>
      <c r="H220" s="16">
        <v>0</v>
      </c>
      <c r="I220" s="16">
        <f>G220*AN220</f>
        <v>0</v>
      </c>
      <c r="J220" s="16">
        <f>G220*AO220</f>
        <v>0</v>
      </c>
      <c r="K220" s="16">
        <f>G220*H220</f>
        <v>0</v>
      </c>
      <c r="Y220" s="29">
        <f>IF(AP220="5",BI220,0)</f>
        <v>0</v>
      </c>
      <c r="AA220" s="29">
        <f>IF(AP220="1",BG220,0)</f>
        <v>0</v>
      </c>
      <c r="AB220" s="29">
        <f>IF(AP220="1",BH220,0)</f>
        <v>0</v>
      </c>
      <c r="AC220" s="29">
        <f>IF(AP220="7",BG220,0)</f>
        <v>0</v>
      </c>
      <c r="AD220" s="29">
        <f>IF(AP220="7",BH220,0)</f>
        <v>0</v>
      </c>
      <c r="AE220" s="29">
        <f>IF(AP220="2",BG220,0)</f>
        <v>0</v>
      </c>
      <c r="AF220" s="29">
        <f>IF(AP220="2",BH220,0)</f>
        <v>0</v>
      </c>
      <c r="AG220" s="29">
        <f>IF(AP220="0",BI220,0)</f>
        <v>0</v>
      </c>
      <c r="AH220" s="25"/>
      <c r="AI220" s="16">
        <f>IF(AM220=0,K220,0)</f>
        <v>0</v>
      </c>
      <c r="AJ220" s="16">
        <f>IF(AM220=15,K220,0)</f>
        <v>0</v>
      </c>
      <c r="AK220" s="16">
        <f>IF(AM220=21,K220,0)</f>
        <v>0</v>
      </c>
      <c r="AM220" s="29">
        <v>21</v>
      </c>
      <c r="AN220" s="29">
        <f>H220*0</f>
        <v>0</v>
      </c>
      <c r="AO220" s="29">
        <f>H220*(1-0)</f>
        <v>0</v>
      </c>
      <c r="AP220" s="24" t="s">
        <v>11</v>
      </c>
      <c r="AU220" s="29">
        <f>AV220+AW220</f>
        <v>0</v>
      </c>
      <c r="AV220" s="29">
        <f>G220*AN220</f>
        <v>0</v>
      </c>
      <c r="AW220" s="29">
        <f>G220*AO220</f>
        <v>0</v>
      </c>
      <c r="AX220" s="30" t="s">
        <v>334</v>
      </c>
      <c r="AY220" s="30" t="s">
        <v>336</v>
      </c>
      <c r="AZ220" s="25" t="s">
        <v>337</v>
      </c>
      <c r="BB220" s="29">
        <f>AV220+AW220</f>
        <v>0</v>
      </c>
      <c r="BC220" s="29">
        <f>H220/(100-BD220)*100</f>
        <v>0</v>
      </c>
      <c r="BD220" s="29">
        <v>0</v>
      </c>
      <c r="BE220" s="29">
        <f>220</f>
        <v>220</v>
      </c>
      <c r="BG220" s="16">
        <f>G220*AN220</f>
        <v>0</v>
      </c>
      <c r="BH220" s="16">
        <f>G220*AO220</f>
        <v>0</v>
      </c>
      <c r="BI220" s="16">
        <f>G220*H220</f>
        <v>0</v>
      </c>
    </row>
    <row r="221" spans="3:7" ht="12.75">
      <c r="C221" s="142" t="s">
        <v>296</v>
      </c>
      <c r="D221" s="143"/>
      <c r="E221" s="143"/>
      <c r="G221" s="69">
        <v>8.74</v>
      </c>
    </row>
    <row r="222" spans="1:61" ht="12.75">
      <c r="A222" s="4" t="s">
        <v>85</v>
      </c>
      <c r="B222" s="4" t="s">
        <v>170</v>
      </c>
      <c r="C222" s="140" t="s">
        <v>297</v>
      </c>
      <c r="D222" s="141"/>
      <c r="E222" s="141"/>
      <c r="F222" s="4" t="s">
        <v>307</v>
      </c>
      <c r="G222" s="68">
        <v>0.46</v>
      </c>
      <c r="H222" s="16">
        <v>0</v>
      </c>
      <c r="I222" s="16">
        <f>G222*AN222</f>
        <v>0</v>
      </c>
      <c r="J222" s="16">
        <f>G222*AO222</f>
        <v>0</v>
      </c>
      <c r="K222" s="16">
        <f>G222*H222</f>
        <v>0</v>
      </c>
      <c r="Y222" s="29">
        <f>IF(AP222="5",BI222,0)</f>
        <v>0</v>
      </c>
      <c r="AA222" s="29">
        <f>IF(AP222="1",BG222,0)</f>
        <v>0</v>
      </c>
      <c r="AB222" s="29">
        <f>IF(AP222="1",BH222,0)</f>
        <v>0</v>
      </c>
      <c r="AC222" s="29">
        <f>IF(AP222="7",BG222,0)</f>
        <v>0</v>
      </c>
      <c r="AD222" s="29">
        <f>IF(AP222="7",BH222,0)</f>
        <v>0</v>
      </c>
      <c r="AE222" s="29">
        <f>IF(AP222="2",BG222,0)</f>
        <v>0</v>
      </c>
      <c r="AF222" s="29">
        <f>IF(AP222="2",BH222,0)</f>
        <v>0</v>
      </c>
      <c r="AG222" s="29">
        <f>IF(AP222="0",BI222,0)</f>
        <v>0</v>
      </c>
      <c r="AH222" s="25"/>
      <c r="AI222" s="16">
        <f>IF(AM222=0,K222,0)</f>
        <v>0</v>
      </c>
      <c r="AJ222" s="16">
        <f>IF(AM222=15,K222,0)</f>
        <v>0</v>
      </c>
      <c r="AK222" s="16">
        <f>IF(AM222=21,K222,0)</f>
        <v>0</v>
      </c>
      <c r="AM222" s="29">
        <v>21</v>
      </c>
      <c r="AN222" s="29">
        <f>H222*0</f>
        <v>0</v>
      </c>
      <c r="AO222" s="29">
        <f>H222*(1-0)</f>
        <v>0</v>
      </c>
      <c r="AP222" s="24" t="s">
        <v>11</v>
      </c>
      <c r="AU222" s="29">
        <f>AV222+AW222</f>
        <v>0</v>
      </c>
      <c r="AV222" s="29">
        <f>G222*AN222</f>
        <v>0</v>
      </c>
      <c r="AW222" s="29">
        <f>G222*AO222</f>
        <v>0</v>
      </c>
      <c r="AX222" s="30" t="s">
        <v>334</v>
      </c>
      <c r="AY222" s="30" t="s">
        <v>336</v>
      </c>
      <c r="AZ222" s="25" t="s">
        <v>337</v>
      </c>
      <c r="BB222" s="29">
        <f>AV222+AW222</f>
        <v>0</v>
      </c>
      <c r="BC222" s="29">
        <f>H222/(100-BD222)*100</f>
        <v>0</v>
      </c>
      <c r="BD222" s="29">
        <v>0</v>
      </c>
      <c r="BE222" s="29">
        <f>222</f>
        <v>222</v>
      </c>
      <c r="BG222" s="16">
        <f>G222*AN222</f>
        <v>0</v>
      </c>
      <c r="BH222" s="16">
        <f>G222*AO222</f>
        <v>0</v>
      </c>
      <c r="BI222" s="16">
        <f>G222*H222</f>
        <v>0</v>
      </c>
    </row>
    <row r="223" spans="1:61" ht="12.75">
      <c r="A223" s="7" t="s">
        <v>86</v>
      </c>
      <c r="B223" s="7" t="s">
        <v>171</v>
      </c>
      <c r="C223" s="144" t="s">
        <v>298</v>
      </c>
      <c r="D223" s="145"/>
      <c r="E223" s="145"/>
      <c r="F223" s="7" t="s">
        <v>307</v>
      </c>
      <c r="G223" s="71">
        <v>0.46</v>
      </c>
      <c r="H223" s="18">
        <v>0</v>
      </c>
      <c r="I223" s="18">
        <f>G223*AN223</f>
        <v>0</v>
      </c>
      <c r="J223" s="18">
        <f>G223*AO223</f>
        <v>0</v>
      </c>
      <c r="K223" s="18">
        <f>G223*H223</f>
        <v>0</v>
      </c>
      <c r="Y223" s="29">
        <f>IF(AP223="5",BI223,0)</f>
        <v>0</v>
      </c>
      <c r="AA223" s="29">
        <f>IF(AP223="1",BG223,0)</f>
        <v>0</v>
      </c>
      <c r="AB223" s="29">
        <f>IF(AP223="1",BH223,0)</f>
        <v>0</v>
      </c>
      <c r="AC223" s="29">
        <f>IF(AP223="7",BG223,0)</f>
        <v>0</v>
      </c>
      <c r="AD223" s="29">
        <f>IF(AP223="7",BH223,0)</f>
        <v>0</v>
      </c>
      <c r="AE223" s="29">
        <f>IF(AP223="2",BG223,0)</f>
        <v>0</v>
      </c>
      <c r="AF223" s="29">
        <f>IF(AP223="2",BH223,0)</f>
        <v>0</v>
      </c>
      <c r="AG223" s="29">
        <f>IF(AP223="0",BI223,0)</f>
        <v>0</v>
      </c>
      <c r="AH223" s="25"/>
      <c r="AI223" s="16">
        <f>IF(AM223=0,K223,0)</f>
        <v>0</v>
      </c>
      <c r="AJ223" s="16">
        <f>IF(AM223=15,K223,0)</f>
        <v>0</v>
      </c>
      <c r="AK223" s="16">
        <f>IF(AM223=21,K223,0)</f>
        <v>0</v>
      </c>
      <c r="AM223" s="29">
        <v>21</v>
      </c>
      <c r="AN223" s="29">
        <f>H223*0</f>
        <v>0</v>
      </c>
      <c r="AO223" s="29">
        <f>H223*(1-0)</f>
        <v>0</v>
      </c>
      <c r="AP223" s="24" t="s">
        <v>11</v>
      </c>
      <c r="AU223" s="29">
        <f>AV223+AW223</f>
        <v>0</v>
      </c>
      <c r="AV223" s="29">
        <f>G223*AN223</f>
        <v>0</v>
      </c>
      <c r="AW223" s="29">
        <f>G223*AO223</f>
        <v>0</v>
      </c>
      <c r="AX223" s="30" t="s">
        <v>334</v>
      </c>
      <c r="AY223" s="30" t="s">
        <v>336</v>
      </c>
      <c r="AZ223" s="25" t="s">
        <v>337</v>
      </c>
      <c r="BB223" s="29">
        <f>AV223+AW223</f>
        <v>0</v>
      </c>
      <c r="BC223" s="29">
        <f>H223/(100-BD223)*100</f>
        <v>0</v>
      </c>
      <c r="BD223" s="29">
        <v>0</v>
      </c>
      <c r="BE223" s="29">
        <f>223</f>
        <v>223</v>
      </c>
      <c r="BG223" s="16">
        <f>G223*AN223</f>
        <v>0</v>
      </c>
      <c r="BH223" s="16">
        <f>G223*AO223</f>
        <v>0</v>
      </c>
      <c r="BI223" s="16">
        <f>G223*H223</f>
        <v>0</v>
      </c>
    </row>
    <row r="224" spans="1:11" ht="12.75">
      <c r="A224" s="8"/>
      <c r="B224" s="8"/>
      <c r="C224" s="8"/>
      <c r="D224" s="8"/>
      <c r="E224" s="8"/>
      <c r="F224" s="8"/>
      <c r="G224" s="8"/>
      <c r="H224" s="8"/>
      <c r="I224" s="146" t="s">
        <v>319</v>
      </c>
      <c r="J224" s="107"/>
      <c r="K224" s="33">
        <f>ROUND(K12+K59+K127+K213,0)</f>
        <v>0</v>
      </c>
    </row>
    <row r="225" ht="11.25" customHeight="1">
      <c r="A225" s="9" t="s">
        <v>87</v>
      </c>
    </row>
    <row r="226" spans="1:11" ht="12.7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</row>
  </sheetData>
  <mergeCells count="242"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A226:K226"/>
    <mergeCell ref="C219:E219"/>
    <mergeCell ref="C220:E220"/>
    <mergeCell ref="C221:E221"/>
    <mergeCell ref="C222:E222"/>
    <mergeCell ref="C223:E223"/>
    <mergeCell ref="I224:J224"/>
    <mergeCell ref="C213:E213"/>
    <mergeCell ref="C214:E214"/>
    <mergeCell ref="C215:E215"/>
    <mergeCell ref="C216:E216"/>
    <mergeCell ref="C217:E217"/>
    <mergeCell ref="C218:E218"/>
  </mergeCells>
  <printOptions horizontalCentered="1"/>
  <pageMargins left="0.7874015748031497" right="0.1968503937007874" top="0.5905511811023623" bottom="0.5905511811023623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Monika</cp:lastModifiedBy>
  <cp:lastPrinted>2019-05-16T10:36:42Z</cp:lastPrinted>
  <dcterms:created xsi:type="dcterms:W3CDTF">2019-05-16T10:34:36Z</dcterms:created>
  <dcterms:modified xsi:type="dcterms:W3CDTF">2019-07-02T06:30:26Z</dcterms:modified>
  <cp:category/>
  <cp:version/>
  <cp:contentType/>
  <cp:contentStatus/>
</cp:coreProperties>
</file>