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41280" windowHeight="13548" activeTab="0"/>
  </bookViews>
  <sheets>
    <sheet name="Krycí list rozpočtu" sheetId="3" r:id="rId1"/>
    <sheet name="VORN" sheetId="4" r:id="rId2"/>
    <sheet name="Stavební rozpočet - součet" sheetId="2" r:id="rId3"/>
    <sheet name="Stavební rozpočet" sheetId="1" r:id="rId4"/>
  </sheets>
  <definedNames>
    <definedName name="vorn_sum">'VORN'!$I$36:$I$36</definedName>
  </definedNames>
  <calcPr calcId="162913"/>
</workbook>
</file>

<file path=xl/sharedStrings.xml><?xml version="1.0" encoding="utf-8"?>
<sst xmlns="http://schemas.openxmlformats.org/spreadsheetml/2006/main" count="1385" uniqueCount="680">
  <si>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</si>
  <si>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</si>
  <si>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</si>
  <si>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</si>
  <si>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</si>
  <si>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</si>
  <si>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</si>
  <si>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</si>
  <si>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</si>
  <si>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</si>
  <si>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</si>
  <si>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</si>
  <si>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</si>
  <si>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</si>
  <si>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</si>
  <si>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</si>
  <si>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</si>
  <si>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</si>
  <si>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</si>
  <si>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</si>
  <si>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</si>
  <si>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</si>
  <si>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</si>
  <si>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</si>
  <si>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</si>
  <si>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</si>
  <si>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</si>
  <si>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</si>
  <si>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</si>
  <si>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</si>
  <si>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</si>
  <si>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</si>
  <si>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</si>
  <si>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</si>
  <si>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</si>
  <si>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</si>
  <si>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</si>
  <si>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</si>
  <si>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</si>
  <si>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</si>
  <si>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</si>
  <si>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</si>
  <si>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</si>
  <si>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</si>
  <si>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</si>
  <si>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</si>
  <si>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</si>
  <si>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</si>
  <si>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</si>
  <si>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</si>
  <si>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</si>
  <si>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</si>
  <si>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</si>
  <si>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</si>
  <si>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</si>
  <si>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</si>
  <si>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</si>
  <si>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</si>
  <si>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</si>
  <si>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</si>
  <si>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</si>
  <si>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</si>
  <si>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</si>
  <si>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</si>
  <si>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</si>
  <si>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</si>
  <si>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</si>
  <si>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</si>
  <si>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</si>
  <si>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</si>
  <si>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</si>
  <si>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</si>
  <si>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</si>
  <si>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</si>
  <si>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</si>
  <si>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</si>
  <si>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</si>
  <si>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</si>
  <si>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</si>
  <si>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</si>
  <si>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</si>
  <si>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</si>
  <si>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</si>
  <si>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</si>
  <si>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</si>
  <si>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</si>
  <si>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</si>
  <si>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</si>
  <si>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</si>
  <si>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</si>
  <si>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</si>
  <si>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</si>
  <si>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</si>
  <si>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</si>
  <si>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</si>
  <si>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</si>
  <si>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</si>
  <si>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</si>
  <si>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</si>
  <si>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</si>
  <si>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</si>
  <si>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Poznámka:</t>
  </si>
  <si>
    <t>Kód</t>
  </si>
  <si>
    <t>347013216R0X</t>
  </si>
  <si>
    <t>602011141R00</t>
  </si>
  <si>
    <t>601011141R0X</t>
  </si>
  <si>
    <t>612403380R00</t>
  </si>
  <si>
    <t>612403382R00</t>
  </si>
  <si>
    <t>612421421R00</t>
  </si>
  <si>
    <t>612421626R00</t>
  </si>
  <si>
    <t>611421231R00</t>
  </si>
  <si>
    <t>612421615R00</t>
  </si>
  <si>
    <t>612401391RT2</t>
  </si>
  <si>
    <t>610991111R00</t>
  </si>
  <si>
    <t>612453551R00</t>
  </si>
  <si>
    <t>612403388RV1</t>
  </si>
  <si>
    <t>631312141R00</t>
  </si>
  <si>
    <t>631571111R00</t>
  </si>
  <si>
    <t>642944121R00</t>
  </si>
  <si>
    <t>55330318</t>
  </si>
  <si>
    <t>909      R00</t>
  </si>
  <si>
    <t>941955004R00</t>
  </si>
  <si>
    <t>95</t>
  </si>
  <si>
    <t>953943110R0X</t>
  </si>
  <si>
    <t>95.1</t>
  </si>
  <si>
    <t>95.2</t>
  </si>
  <si>
    <t>95.3</t>
  </si>
  <si>
    <t>95.4</t>
  </si>
  <si>
    <t>95.5</t>
  </si>
  <si>
    <t>95.6</t>
  </si>
  <si>
    <t>95.7</t>
  </si>
  <si>
    <t>95.8</t>
  </si>
  <si>
    <t>95.9</t>
  </si>
  <si>
    <t>952901114R00</t>
  </si>
  <si>
    <t>96</t>
  </si>
  <si>
    <t>965081713R00</t>
  </si>
  <si>
    <t>965081702R00</t>
  </si>
  <si>
    <t>968061125R00</t>
  </si>
  <si>
    <t>968072455R00</t>
  </si>
  <si>
    <t>962032231R00</t>
  </si>
  <si>
    <t>966077111R00</t>
  </si>
  <si>
    <t>965048515R00</t>
  </si>
  <si>
    <t>965082941R00</t>
  </si>
  <si>
    <t>97</t>
  </si>
  <si>
    <t>978059531R00</t>
  </si>
  <si>
    <t>978013161R00</t>
  </si>
  <si>
    <t>974029121R00</t>
  </si>
  <si>
    <t>974029132R00</t>
  </si>
  <si>
    <t>978011121R00</t>
  </si>
  <si>
    <t>974029164R00</t>
  </si>
  <si>
    <t>974042567R00</t>
  </si>
  <si>
    <t>974042554R00</t>
  </si>
  <si>
    <t>99</t>
  </si>
  <si>
    <t>999281111R00</t>
  </si>
  <si>
    <t>S</t>
  </si>
  <si>
    <t>979011219R00</t>
  </si>
  <si>
    <t>979011211R00</t>
  </si>
  <si>
    <t>979082111R00</t>
  </si>
  <si>
    <t>979082121R00</t>
  </si>
  <si>
    <t>979081111R00</t>
  </si>
  <si>
    <t>979081121R00</t>
  </si>
  <si>
    <t>979095312R00</t>
  </si>
  <si>
    <t>979990001R00</t>
  </si>
  <si>
    <t>711</t>
  </si>
  <si>
    <t>711212000RT1</t>
  </si>
  <si>
    <t>711212002R00</t>
  </si>
  <si>
    <t>711212601R00</t>
  </si>
  <si>
    <t>711212611R00</t>
  </si>
  <si>
    <t>998711101R00</t>
  </si>
  <si>
    <t>720</t>
  </si>
  <si>
    <t>720.01</t>
  </si>
  <si>
    <t>766</t>
  </si>
  <si>
    <t>766661112R00</t>
  </si>
  <si>
    <t>611618020</t>
  </si>
  <si>
    <t>766662811R00</t>
  </si>
  <si>
    <t>766695213R00</t>
  </si>
  <si>
    <t>611871910</t>
  </si>
  <si>
    <t>998766101R00</t>
  </si>
  <si>
    <t>767</t>
  </si>
  <si>
    <t>767137801R00</t>
  </si>
  <si>
    <t>767137803R00</t>
  </si>
  <si>
    <t>771</t>
  </si>
  <si>
    <t>771101210RT2</t>
  </si>
  <si>
    <t>771475014RT1</t>
  </si>
  <si>
    <t>771479001R00</t>
  </si>
  <si>
    <t>771575109R00</t>
  </si>
  <si>
    <t>771578011RT1</t>
  </si>
  <si>
    <t>771579793R00</t>
  </si>
  <si>
    <t>771579795R00</t>
  </si>
  <si>
    <t>597623142</t>
  </si>
  <si>
    <t>998771101R00</t>
  </si>
  <si>
    <t>777</t>
  </si>
  <si>
    <t>777531025R00</t>
  </si>
  <si>
    <t>998777101R00</t>
  </si>
  <si>
    <t>781</t>
  </si>
  <si>
    <t>781101210R00</t>
  </si>
  <si>
    <t>781230121R00</t>
  </si>
  <si>
    <t>781497110R0X</t>
  </si>
  <si>
    <t>597813740</t>
  </si>
  <si>
    <t>781111130R0X</t>
  </si>
  <si>
    <t>998781102R00</t>
  </si>
  <si>
    <t>783</t>
  </si>
  <si>
    <t>783201821R00</t>
  </si>
  <si>
    <t>783225100R00</t>
  </si>
  <si>
    <t>783626020R00</t>
  </si>
  <si>
    <t>784</t>
  </si>
  <si>
    <t>784450075RA0</t>
  </si>
  <si>
    <t>784011222RT2</t>
  </si>
  <si>
    <t>784011221RT2</t>
  </si>
  <si>
    <t>M22</t>
  </si>
  <si>
    <t>M21</t>
  </si>
  <si>
    <t>Oprava rozvodů vody - zámek Vyškov</t>
  </si>
  <si>
    <t>b.Hygienické zařízení</t>
  </si>
  <si>
    <t>náměstí Čsl. armády 475/2, Vyškov - Město, 682 01</t>
  </si>
  <si>
    <t>Zkrácený popis / Varianta</t>
  </si>
  <si>
    <t>Rozměry</t>
  </si>
  <si>
    <t>Stěny a příčky</t>
  </si>
  <si>
    <t>Předstěna SDK,tl.125mm,ocel.kce,2xRBI, mineral.izol. 40mm</t>
  </si>
  <si>
    <t>;WC 1.NP;1,25*2,6   </t>
  </si>
  <si>
    <t>Omítky ze suchých směsí</t>
  </si>
  <si>
    <t>Štuk na stěnách vnitřní, ručně</t>
  </si>
  <si>
    <t>;na neobložených stěnách;   </t>
  </si>
  <si>
    <t>;1.NP WC;2*(1,2+1,23)*(2,6-2,1)-1,2*0,5   </t>
  </si>
  <si>
    <t>;2.NP WC M;2*(0,9+1,45)*0,62   </t>
  </si>
  <si>
    <t>;2.NP pisoary;2*(1,22+1,45)*0,62   </t>
  </si>
  <si>
    <t>;2.NP předíň WC M;2*(2,16+1,629)*3,1+2*0,922*2,0   </t>
  </si>
  <si>
    <t>-0,988*2,0-0,7*1,97*2-1,426*2,17-1,163*2,0   </t>
  </si>
  <si>
    <t>;2.NP sprcha;2*(1,93+1,15)*0,6   </t>
  </si>
  <si>
    <t>;2.NP WC Ž;2*(0,92+1,15)*0,6   </t>
  </si>
  <si>
    <t>2*(0,93+1,15)*0,6   </t>
  </si>
  <si>
    <t>;2.NP předsíň Ž;2*(1,95+1,15)*0,6   </t>
  </si>
  <si>
    <t>;2.NP umývárna Ž;2*(1,39+1,85)*2,62+0,7*2,0-1,15*2,0   </t>
  </si>
  <si>
    <t>-0,7*1,97*2-3,6   </t>
  </si>
  <si>
    <t>Štuk na stropech ručně</t>
  </si>
  <si>
    <t>;1.NP WC;1,2*1,23   </t>
  </si>
  <si>
    <t>;2.NP - předsíň WC M;2,16*1,629+0,85*1,0   </t>
  </si>
  <si>
    <t>Úprava povrchů vnitřní</t>
  </si>
  <si>
    <t>Hrubá výplň rýh ve stěnách do 3x3 cm maltou ze SMS</t>
  </si>
  <si>
    <t>;elektro rozvod;   </t>
  </si>
  <si>
    <t>;2.NP -WC muži nad dveřmi pro rozvod el.;1,0   </t>
  </si>
  <si>
    <t>;ZTI rozvod vodovodu;   </t>
  </si>
  <si>
    <t>5,0+21,0+2,5+2,0   </t>
  </si>
  <si>
    <t>Hrubá výplň rýh ve stěnách do 5x5 cm maltou ze SMS</t>
  </si>
  <si>
    <t>;elektrorozvod;   </t>
  </si>
  <si>
    <t>;1.NP WC, stávající elektrorozvod pod oknem;1,0   </t>
  </si>
  <si>
    <t>;drážky ZTI vodovodu;   </t>
  </si>
  <si>
    <t>4,5+9,5   </t>
  </si>
  <si>
    <t>Oprava vápen.omítek stěn do 50 % pl. - hladkých</t>
  </si>
  <si>
    <t>;1.NP WC;2*(1,2+1,23)*2,6-1,0*2,1-1,2*0,6   </t>
  </si>
  <si>
    <t>Omítka vnitřní zdiva, MVC, hladká</t>
  </si>
  <si>
    <t>nová - pod nový obklad po otlučených obkladech</t>
  </si>
  <si>
    <t>;omítka pod nové obklady- na WC v 1.NP na stávající omítku;   </t>
  </si>
  <si>
    <t>;1.NP za umyvadlem chodba;0,85*1,50   </t>
  </si>
  <si>
    <t>;2.NP za umavadlem WC muži;1,163*2,0   </t>
  </si>
  <si>
    <t>;2.NP pisoary;2*(1,22+1,45)*2,0-0,7*1,97*2   </t>
  </si>
  <si>
    <t>;2.NP WC M;2*(0,9+1,45)*2,0-0,7*1,97   </t>
  </si>
  <si>
    <t>;2.NP sprcha;2*(1,93+1,15)*2,0-0,7*1,97*2   </t>
  </si>
  <si>
    <t>;2.NP WC Ž;2*(0,92+1,15)*2,0-0,7*1,97   </t>
  </si>
  <si>
    <t>2*(0,93+1,15)*2,0-0,7*1,97   </t>
  </si>
  <si>
    <t>;2.NP předsíň Ž;2*(1,95+1,15)*2,0-0,7*1,97*3   </t>
  </si>
  <si>
    <t>;2.NP umývárna Ž;(0,51+0,85+0,24+0,2)*2,0   </t>
  </si>
  <si>
    <t>;2.NP kancelář;1,30*1,50   </t>
  </si>
  <si>
    <t>;3.NP chodba;(1,0+0,3)*1,50   </t>
  </si>
  <si>
    <t>Oprava váp.omítek stropů do 10% plochy - štukových</t>
  </si>
  <si>
    <t>;strop bez podhledu;   </t>
  </si>
  <si>
    <t>Omítka vnitřní zdiva, MVC, hrubá zatřená</t>
  </si>
  <si>
    <t>po vybouraných keram. obkladech nově omítaných</t>
  </si>
  <si>
    <t>;na otlučených plochách po obkladech, kde bude nově omítka;   </t>
  </si>
  <si>
    <t>;otlučení stávajících obkladů;77,525   </t>
  </si>
  <si>
    <t>;rozsah nových obkladů;-66,754   </t>
  </si>
  <si>
    <t>Omítka malých ploch vnitřních stěn do 1 m2</t>
  </si>
  <si>
    <t>vápennou štukovou omítkou</t>
  </si>
  <si>
    <t>;vyspravení omítek kolem otlučených obkladů;   </t>
  </si>
  <si>
    <t>;v místnostech bez celkových oprav omítek;   </t>
  </si>
  <si>
    <t>;1.NP -u umyvadla;0,85*0,5   </t>
  </si>
  <si>
    <t>;2.NP kancelář;2*0,5*2,0+1,3*0,5   </t>
  </si>
  <si>
    <t>;3.NP umyvadlo;2*0,5*2,0+(1,0+0,3)*0,5   </t>
  </si>
  <si>
    <t>Zakrývání výplní vnitřních otvorů</t>
  </si>
  <si>
    <t>;nutno upřesnit dle skutečnosti;   </t>
  </si>
  <si>
    <t>;1.NP -zakrytí dveří, zárubní ;   </t>
  </si>
  <si>
    <t>(0,95*2,1*2+(2*0,1+0,15)*2,1)*2   </t>
  </si>
  <si>
    <t>;2.NP -hyg zař. stávající zárubně, okno a dveře na chodbu;   </t>
  </si>
  <si>
    <t>(2*0,05+0,1)*2,1*2*5+1,0*2,0*2+1,43*2,17   </t>
  </si>
  <si>
    <t>Omítka rýh MC šířky do 15 cm,hlazená ocelí</t>
  </si>
  <si>
    <t>;zapravení rýhy pod malbu kromě 2.NP hyg zař.;   </t>
  </si>
  <si>
    <t>;ZTI vodovod;(5,0+4,5+2,5+2,0)*0,15   </t>
  </si>
  <si>
    <t>Hrubá výplň rýh ve stěnách do 15x15cm maltou z SMS</t>
  </si>
  <si>
    <t>výplňovou nesmrštivou maltou</t>
  </si>
  <si>
    <t>;drážka ZTI pro kanalizaci;3,0+1,1   </t>
  </si>
  <si>
    <t>Podlahy a podlahové konstrukce</t>
  </si>
  <si>
    <t>Doplnění rýh betonem v dosavadních mazaninách</t>
  </si>
  <si>
    <t>;po vybouraných drážkách v podlaze pro kanalizaci;   </t>
  </si>
  <si>
    <t>0,3*0,5*0,15   </t>
  </si>
  <si>
    <t>0,3*1,3*0,15   </t>
  </si>
  <si>
    <t>0,1*2,2*0,15   </t>
  </si>
  <si>
    <t>Doplnění stávajících násypů o ploše do 2 m2</t>
  </si>
  <si>
    <t>;v podlaze po uložení kanalizace;   </t>
  </si>
  <si>
    <t>0,3*0,35*0,5   </t>
  </si>
  <si>
    <t>0,3*0,10*1,3   </t>
  </si>
  <si>
    <t>0,1*0,10*2,2*2   </t>
  </si>
  <si>
    <t>Výplně otvorů</t>
  </si>
  <si>
    <t>Osazení ocelových zárubní dodatečně do 2,5 m2</t>
  </si>
  <si>
    <t>;2.NP WC muži;2   </t>
  </si>
  <si>
    <t>Zárubeň ocelová H 110   700x1970x110 P</t>
  </si>
  <si>
    <t>;2.NP - WC muži;2   </t>
  </si>
  <si>
    <t>Hodinové zúčtovací sazby (HZS)</t>
  </si>
  <si>
    <t>Hzs-nezmeritelne stavebni prace</t>
  </si>
  <si>
    <t>stavební práce, které nelze předvídat</t>
  </si>
  <si>
    <t>Hzs-přesun nábytku v kancelářích 2.NP</t>
  </si>
  <si>
    <t>;předpoklad 2 pracovníci - 2 hod. a 1prac;   </t>
  </si>
  <si>
    <t>2*2   </t>
  </si>
  <si>
    <t>Lešení a stavební výtahy</t>
  </si>
  <si>
    <t>Lešení lehké pomocné, výška podlahy do 3,5 m</t>
  </si>
  <si>
    <t>;viz položka dlažba cca; 20,0   </t>
  </si>
  <si>
    <t>Různé dokončovací konstrukce a práce na pozemních stavbách</t>
  </si>
  <si>
    <t>Osazení předmětů vnitřního vybavení na zdi</t>
  </si>
  <si>
    <t>;box na toaletní papír;1+3+0   </t>
  </si>
  <si>
    <t>;návěsná WC souprava;1+3+0   </t>
  </si>
  <si>
    <t>;dávkovač tekutého mýdla;1+3+1   </t>
  </si>
  <si>
    <t>;box na papírové utěrky;1+2+1   </t>
  </si>
  <si>
    <t>;háček na odkládání oděvu;0+1+0   </t>
  </si>
  <si>
    <t>;nástěnná polička na mýdlo;0+1+0   </t>
  </si>
  <si>
    <t>;háček na ručník;1+3+1   </t>
  </si>
  <si>
    <t>;zrcadlo;0+2+0   </t>
  </si>
  <si>
    <t>;madlo nástěnné do sprchy;0+1+0   </t>
  </si>
  <si>
    <t>Dávkovač tekutého mýdla, plast 800ml</t>
  </si>
  <si>
    <t>1+3+1   </t>
  </si>
  <si>
    <t>Box na papírové ručníky (250ks)</t>
  </si>
  <si>
    <t>1+2+1   </t>
  </si>
  <si>
    <t>Box na WC papír nástěnný</t>
  </si>
  <si>
    <t>1+3+0   </t>
  </si>
  <si>
    <t>WC souprava návěsná</t>
  </si>
  <si>
    <t>Háček na odložení oděvu</t>
  </si>
  <si>
    <t>0+1+0   </t>
  </si>
  <si>
    <t>Nástěnná polička na mýdlo ve sprše</t>
  </si>
  <si>
    <t>Háček na ručník</t>
  </si>
  <si>
    <t>Zrcadlo 600x1000mm</t>
  </si>
  <si>
    <t>0+2+0   </t>
  </si>
  <si>
    <t>Madlo do sprchy 300 mm bílé</t>
  </si>
  <si>
    <t>Vyčištění budov o výšce podlaží nad 4 m</t>
  </si>
  <si>
    <t>;úklid v dotčené části objektu;   </t>
  </si>
  <si>
    <t>;1.NP;15,0   </t>
  </si>
  <si>
    <t>;2.NP;26,0+9,0   </t>
  </si>
  <si>
    <t>;3.NP;5,0   </t>
  </si>
  <si>
    <t>Bourání konstrukcí</t>
  </si>
  <si>
    <t>Bourání dlažeb keramických tl.10 mm, nad 1 m2</t>
  </si>
  <si>
    <t>;1.NP -WC;1,2*1,23   </t>
  </si>
  <si>
    <t>;2.NP;   </t>
  </si>
  <si>
    <t>;WC muži;1,426*2,16+0,7*0,1*2+0,922*0,988   </t>
  </si>
  <si>
    <t>1,22*1,45+0,7*0,1+0,9*1,45   </t>
  </si>
  <si>
    <t>;sprcha;0,96*0,9+0,9*1,15+0,7*0,1   </t>
  </si>
  <si>
    <t>;WC ženy;0,85*1,39+1,05*1,15+0,7*1,15   </t>
  </si>
  <si>
    <t>1,95*1,15+0,7*0,1+0,92*1,15+0,93*1,15+0,7*0,1*2   </t>
  </si>
  <si>
    <t>Bourání soklíků z dlažeb keramických</t>
  </si>
  <si>
    <t>;1.NP WC;2*(1,2+1,23)-1,0   </t>
  </si>
  <si>
    <t>;2.NP předíň WC M;2*(2,16+1,629)+2*0,922-2*0,7-1,0-1,163   </t>
  </si>
  <si>
    <t>;2.NP umývárna Ž;2*(1,849+0,7+1,39)-(0,51+0,85+0,24+0,2)   </t>
  </si>
  <si>
    <t>-0,86-0,7*2   </t>
  </si>
  <si>
    <t>Vyvěšení dřevěných dveřních křídel pl. do 2 m2</t>
  </si>
  <si>
    <t>;1.NP vysazení a opětovné zavěšení; 1   </t>
  </si>
  <si>
    <t>;2.NP - vysazení a opětovné zavěšení;2   </t>
  </si>
  <si>
    <t>;2.NP - vysazení;7   </t>
  </si>
  <si>
    <t>Vybourání kovových dveřních zárubní pl. do 2 m2</t>
  </si>
  <si>
    <t>;2.NP - WC muži;0,7*1,97*2   </t>
  </si>
  <si>
    <t>Bourání zdiva z cihel pálených na MVC</t>
  </si>
  <si>
    <t>;podezdívka sprchy;2*(0,96+0,9)*0,15*0,3   </t>
  </si>
  <si>
    <t>Odstranění doplňkových konstrukcí do 20 kg</t>
  </si>
  <si>
    <t>;DMT;   </t>
  </si>
  <si>
    <t>;držáku na toaletní papír;2+4+0   </t>
  </si>
  <si>
    <t>;mýdlenka;1+3+0   </t>
  </si>
  <si>
    <t>;zásobník utěrek;1+2+0   </t>
  </si>
  <si>
    <t>;háček ručníku;0+2+0   </t>
  </si>
  <si>
    <t>;zrcadla;0+2+0   </t>
  </si>
  <si>
    <t>;zástěna sprchového koutu a vanička;0+1+0   </t>
  </si>
  <si>
    <t>;madla ve sprch koutu;0+1+0   </t>
  </si>
  <si>
    <t>;držák mýdla ve sprch koutu;0+1+0   </t>
  </si>
  <si>
    <t>Broušení betonových povrchů do tl. 5 mm</t>
  </si>
  <si>
    <t>;broušení podlah po vybourané dlažbě;   </t>
  </si>
  <si>
    <t>Odstranění násypu tl. nad 20 cm jakékoliv plochy</t>
  </si>
  <si>
    <t>;pro uložení kanalizace v drážce podlahy;   </t>
  </si>
  <si>
    <t>;nutno upřesnit při realizaci;   </t>
  </si>
  <si>
    <t>0,3*0,1*1,30   </t>
  </si>
  <si>
    <t>0,1*0,1*2,20*2   </t>
  </si>
  <si>
    <t>Prorážení otvorů a ostatní bourací práce</t>
  </si>
  <si>
    <t>Odsekání vnitřních obkladů stěn nad 2 m2</t>
  </si>
  <si>
    <t>vč. omítky</t>
  </si>
  <si>
    <t>;1.NP za umyvadlem - chodba;0,85*1,39   </t>
  </si>
  <si>
    <t>;2.NP pisoary;2*(1,22+1,45)*2,62-0,7*1,97*2   </t>
  </si>
  <si>
    <t>;2.NP WC M;2*(0,9+1,45)*2,62-0,7*1,97   </t>
  </si>
  <si>
    <t>;2.NP sprcha;2*(1,93+1,15)*2,63-0,7*1,97*2   </t>
  </si>
  <si>
    <t>;2.NP WC Ž;2*(0,92+1,15)*2,6-0,7*1,97   </t>
  </si>
  <si>
    <t>2*(0,93+1,15)*2,6-0,7*1,97   </t>
  </si>
  <si>
    <t>;2.NP předsíň Ž;2*(1,95+1,15)*2,61-0,7*1,97*3   </t>
  </si>
  <si>
    <t>;3.NP chodba;(1,0+0,3)*1,53   </t>
  </si>
  <si>
    <t>Otlučení omítek vnitřních stěn v rozsahu do 50 %</t>
  </si>
  <si>
    <t>pro opravu omítek mimo osekané obklady</t>
  </si>
  <si>
    <t>Vysekání rýh ve zdi kamenné 3 x 3 cm</t>
  </si>
  <si>
    <t>;ZTI;   </t>
  </si>
  <si>
    <t>;drážky pro vodovod;   </t>
  </si>
  <si>
    <t>;1.NP;5,0   </t>
  </si>
  <si>
    <t>;2.NP soc;21,0   </t>
  </si>
  <si>
    <t>;2.NP kancel;2,5   </t>
  </si>
  <si>
    <t>;3.NP; 2,0   </t>
  </si>
  <si>
    <t>Vysekání rýh ve zdi kamenné 5 x 7 cm</t>
  </si>
  <si>
    <t>;elektro drážka;   </t>
  </si>
  <si>
    <t>;1.NP WC stávající elektrorozvod pod oknem;1,0   </t>
  </si>
  <si>
    <t>;drážka ZTI vodovod 5 x 5 cm;   </t>
  </si>
  <si>
    <t>;1.NP;4,5   </t>
  </si>
  <si>
    <t>;2.NP soc;9,5   </t>
  </si>
  <si>
    <t>Otlučení omítek vnitřních vápenných stropů do 10 %</t>
  </si>
  <si>
    <t>;2.NP - předsíň WC M;2,16*1,63+0,85*1,0   </t>
  </si>
  <si>
    <t>Vysekání rýh ve zdi kamenné 15 x 15 cm</t>
  </si>
  <si>
    <t>Vysekání rýh betonová, monolitická dlažba 15x30 cm</t>
  </si>
  <si>
    <t>;vysekání rýh v betonové mazanině š.300mm tl.150mm;   </t>
  </si>
  <si>
    <t>0,5+1,3   </t>
  </si>
  <si>
    <t>Vysekání rýh betonová, monolitická dlažba 10x15 cm</t>
  </si>
  <si>
    <t>;vysekání rýh v betonové mazanině š. 100mm tl.150mm;   </t>
  </si>
  <si>
    <t>2,2*2   </t>
  </si>
  <si>
    <t>Stavenišťní přesun hmot</t>
  </si>
  <si>
    <t>Přesun hmot pro opravy a údržbu do výšky 25 m</t>
  </si>
  <si>
    <t>Přesuny sutí</t>
  </si>
  <si>
    <t>Přípl.k svislé dopr.suti za každé další NP nošením</t>
  </si>
  <si>
    <t>Svislá doprava suti a vybour. hmot za 2.NP nošením</t>
  </si>
  <si>
    <t>Vnitrostaveništní doprava suti do 10 m</t>
  </si>
  <si>
    <t>Příplatek k vnitrost. dopravě suti za dalších 5 m</t>
  </si>
  <si>
    <t>10*8,002   </t>
  </si>
  <si>
    <t>Odvoz suti a vybour. hmot na skládku do 1 km</t>
  </si>
  <si>
    <t>Příplatek k odvozu za každý další 1 km</t>
  </si>
  <si>
    <t>19*8,002   </t>
  </si>
  <si>
    <t>Naložení a složení suti</t>
  </si>
  <si>
    <t>Poplatek za skládku stavební suti</t>
  </si>
  <si>
    <t>Izolace proti vodě</t>
  </si>
  <si>
    <t>Penetrace podkladu pod hydroizolační nátěr,vč.dod.</t>
  </si>
  <si>
    <t>ASO-Unigrund (fa Schömburg)</t>
  </si>
  <si>
    <t>;2.NP sprcha;   </t>
  </si>
  <si>
    <t>;podlaha;0,9*0,96+0,95*1,15   </t>
  </si>
  <si>
    <t>;stěny;(2*9,35+0,9)*2,0+2*(0,95+1,15)*0,2-(0,9+2*0,7)*0,2   </t>
  </si>
  <si>
    <t>Hydroizolační povlak - nátěr nebo stěrka</t>
  </si>
  <si>
    <t>Těsnicí pás do spoje podlaha - stěna</t>
  </si>
  <si>
    <t>2*(1,15+2,0)-2*0,7   </t>
  </si>
  <si>
    <t>Těsnicí pás do svislých koutů</t>
  </si>
  <si>
    <t>;2.NP sprcha;3*2,0   </t>
  </si>
  <si>
    <t>Přesun hmot pro izolace proti vodě, výšky do 6 m</t>
  </si>
  <si>
    <t>Zdravotně technické instalace</t>
  </si>
  <si>
    <t>samostatný VV</t>
  </si>
  <si>
    <t>Konstrukce truhlářské</t>
  </si>
  <si>
    <t>Montáž dveří do zárubně,otevíravých 1kř.do 0,8 m</t>
  </si>
  <si>
    <t>;2.NP- WC muži;3   </t>
  </si>
  <si>
    <t>;2.NP-WC ženy;4   </t>
  </si>
  <si>
    <t>Dveře vnitřní hladké plné  1kř. 70x197 -  kompletní výrobek</t>
  </si>
  <si>
    <t>Demontáž prahů dveří 1křídlových</t>
  </si>
  <si>
    <t>;1.NP WC;1   </t>
  </si>
  <si>
    <t>Montáž prahů dveří jednokřídlových š. nad 10 cm</t>
  </si>
  <si>
    <t>Prah dubový délka 95 cm šířka 15 cm tl. 2 cm</t>
  </si>
  <si>
    <t>Přesun hmot pro truhlářské konstr., výšky do 6 m</t>
  </si>
  <si>
    <t>Konstrukce doplňkové stavební (zámečnické)</t>
  </si>
  <si>
    <t>Demontáž příček sádrokartonových, roštu</t>
  </si>
  <si>
    <t>;předstěna WC 1.NP;1,25*2,6   </t>
  </si>
  <si>
    <t>Demontáž příček sádrokartonových, desek do suti</t>
  </si>
  <si>
    <t>Podlahy z dlaždic</t>
  </si>
  <si>
    <t>Penetrace podkladu pod dlažby</t>
  </si>
  <si>
    <t>penetrační nátěr</t>
  </si>
  <si>
    <t>Obklad soklíků keram.rovných, tmel,výška 10 cm</t>
  </si>
  <si>
    <t>lepidloflexibilní, spár.hm. flexibilní</t>
  </si>
  <si>
    <t>;2.NP předsíň WC Ž;2*(1,849+1,39+0,7)-2*0,7-1,0   </t>
  </si>
  <si>
    <t>-(0,56+0,85+0,24+0,2)   </t>
  </si>
  <si>
    <t>Řezání dlaždic keramických pro soklíky</t>
  </si>
  <si>
    <t>Montáž podlah keram.,hladké, tmel, 33x33 cm</t>
  </si>
  <si>
    <t>flexibilní lepidlo, spárovací hmota</t>
  </si>
  <si>
    <t>;dle položky penetrace;18,494   </t>
  </si>
  <si>
    <t>Spára podlaha - stěna, silikonem</t>
  </si>
  <si>
    <t>;WC muži;2*(0,9+1,45)-0,7+2*(1,22+1,45)-2*0,7   </t>
  </si>
  <si>
    <t>2*(1,629+2,16)-2*0,7-0,99+2*0,922   </t>
  </si>
  <si>
    <t>;sprcha;2*(1,93+1,15)-2*0,7   </t>
  </si>
  <si>
    <t>;WC ženy;2*(0,92+1,15)-0,7+2*(0,93+1,15)-0,7   </t>
  </si>
  <si>
    <t>2*(1,95+1,15)-3*0,7+2*(1,85+1,39)-0,7*2-0,86+0,7   </t>
  </si>
  <si>
    <t>Příplatek za spárovací hmotu - plošně,keram.dlažba</t>
  </si>
  <si>
    <t>18,085-1,124   </t>
  </si>
  <si>
    <t>Příplatek za spárování vodotěsnou hmotou - plošně</t>
  </si>
  <si>
    <t>;sprcha;1,124   </t>
  </si>
  <si>
    <t>Dlaždice keramické 33x33 cm</t>
  </si>
  <si>
    <t>18,494+0,1*9,487   </t>
  </si>
  <si>
    <t>;ztratné 5%; 0,97215   </t>
  </si>
  <si>
    <t>Přesun hmot pro podlahy z dlaždic, výšky do 6 m</t>
  </si>
  <si>
    <t>Podlahy ze syntetických hmot</t>
  </si>
  <si>
    <t>Vyrovnání podlah, samonivel. hmota tl.5 mm</t>
  </si>
  <si>
    <t>pod novou dlažbu</t>
  </si>
  <si>
    <t>Přesun hmot pro podlahy syntetické, výšky do 6 m</t>
  </si>
  <si>
    <t>Obklady (keramické)</t>
  </si>
  <si>
    <t>Penetrace podkladu pod obklady</t>
  </si>
  <si>
    <t>;1.NP WC;2*(1,2+1,23)*2,1-1,0*2,1   </t>
  </si>
  <si>
    <t>;1.NP za umyvadlem chodba;0,85*1,5   </t>
  </si>
  <si>
    <t>;2.NP WC M ;2*(0,9+1,45)*2,0-0,7*2,0   </t>
  </si>
  <si>
    <t>1,163*2,0   </t>
  </si>
  <si>
    <t>2*(1,22+1,45)*2,0-0,7*2,0*2   </t>
  </si>
  <si>
    <t>(0,51+0,85+0,24+0,2)*2,0   </t>
  </si>
  <si>
    <t>2*(1,95+1,15)*2,0-0,7*1,97*3   </t>
  </si>
  <si>
    <t>;2.NP WC Ž ;2*(0,92+1,15)*2,0-0,7*1,97   </t>
  </si>
  <si>
    <t>Obkládání stěn vnitř.keram. do tmele do 300x300 mm</t>
  </si>
  <si>
    <t>;2.NP WC M - viz. pol. penetrace;8,0+2,326+7,88   </t>
  </si>
  <si>
    <t>;2.NP WC Ž viz. pol. penetrace;6,901+6,941+8,263+3,6   </t>
  </si>
  <si>
    <t>Lišta plastová ukončovacích k obkladům</t>
  </si>
  <si>
    <t>;1.NP za umavadlem;2*1,5+0,85   </t>
  </si>
  <si>
    <t>;2.NP WC M;2*(0,9+1,45)-0,7   </t>
  </si>
  <si>
    <t>;2.NP za umavadlem WC muži;1,163+2*2,0   </t>
  </si>
  <si>
    <t>;2.NP pisoary;2*(1,22+1,45)-0,7*2   </t>
  </si>
  <si>
    <t>;2.NP sprcha;2*(1,93+1,15)-0,7*2+2,0   </t>
  </si>
  <si>
    <t>;2.NP WC Ž;2*(0,92+1,15)-0,7+2*(0,93+1,15)-0,7   </t>
  </si>
  <si>
    <t>;2.NP předsíň Ž;2*(1,95+1,15)-0,7*3   </t>
  </si>
  <si>
    <t>;2.NP umývárna Ž;(0,51+0,85+0,24+0,2)+2*2,0   </t>
  </si>
  <si>
    <t>;2.NP kancelář;1,30+2*1,50   </t>
  </si>
  <si>
    <t>;3.NP chodba;(1,0+0,3)+2*1,50   </t>
  </si>
  <si>
    <t>Obkládačka 30x60 bílá mat</t>
  </si>
  <si>
    <t>66,754   </t>
  </si>
  <si>
    <t>;ztratné 5%; 3,3377   </t>
  </si>
  <si>
    <t>Vyplnění  spár těsnícím pružným tmelem, obklady</t>
  </si>
  <si>
    <t>zatmelení u styku konstrukcí stěna-stěna, podlaha-stěna</t>
  </si>
  <si>
    <t>;2.NP sprchový kout;5*2,0+2*(1,9+1,2)   </t>
  </si>
  <si>
    <t>Přesun hmot pro obklady keramické, výšky do 12 m</t>
  </si>
  <si>
    <t>Nátěry</t>
  </si>
  <si>
    <t>Odstranění nátěrů z kovových konstrukcí opálením</t>
  </si>
  <si>
    <t>;stávající zárubně;(2*1,97+0,7)*(0,1+2*0,05)*5   </t>
  </si>
  <si>
    <t>Nátěr syntetický kovových konstrukcí 2x + 1x email</t>
  </si>
  <si>
    <t>;nových zárubní;(2*1,97+0,7)*(0,1+2*0,05)*2   </t>
  </si>
  <si>
    <t>Nátěr syntetický truhlářských výrobků 2x lakování</t>
  </si>
  <si>
    <t>;1.NP WC práh;(2*0,02+0,15)*0,95   </t>
  </si>
  <si>
    <t>Malby</t>
  </si>
  <si>
    <t>Malba disperzní, penetrace 1x, malba bílá 2x</t>
  </si>
  <si>
    <t>;stěny na štukové omítce;47,197   </t>
  </si>
  <si>
    <t>;SDK předstěně bez obkladu;1,23*(2,53-2,1)   </t>
  </si>
  <si>
    <t>;stropy wc 1.NP a hyg zař 2.NP;1,2*1,23+(0,9+1,22)*1,45+1,426*2,16   </t>
  </si>
  <si>
    <t>1,0*0,922+0,96*0,9+0,97*1,15+1,85*1,39-1,05*0,24+1,15*0,7   </t>
  </si>
  <si>
    <t>1,95*1,15+(0,92+0,93)*1,15   </t>
  </si>
  <si>
    <t>;malba stěn po zapravení rýh ZTI kromě sociálních zař.2.;(5,0+4,5+2,5+2,0)*3,0   </t>
  </si>
  <si>
    <t>Zakrytí podlah před realizací</t>
  </si>
  <si>
    <t>včetně papírové lepenky</t>
  </si>
  <si>
    <t>;1.NP - chodba kolem umyvadla;2,0*2,0   </t>
  </si>
  <si>
    <t>;2.NP - kancelář;2,0*3,0   </t>
  </si>
  <si>
    <t>;3.NP - chodba kolem umyvadla;1,0*2,0   </t>
  </si>
  <si>
    <t>Zakrytí předmětů</t>
  </si>
  <si>
    <t>včetně dodávky fólie tl. 0,04 mm</t>
  </si>
  <si>
    <t>;zakrytí případného nábytku a vybavení;   </t>
  </si>
  <si>
    <t>;odhad 20m2 v kanceláři 2.NP;20,0   </t>
  </si>
  <si>
    <t>Elektromontáže</t>
  </si>
  <si>
    <t>Vnitřní rozvody NN</t>
  </si>
  <si>
    <t>Doba výstavby:</t>
  </si>
  <si>
    <t>Začátek výstavby:</t>
  </si>
  <si>
    <t>Konec výstavby:</t>
  </si>
  <si>
    <t>Zpracováno dne:</t>
  </si>
  <si>
    <t>07.05.2019</t>
  </si>
  <si>
    <t>MJ</t>
  </si>
  <si>
    <t>m2</t>
  </si>
  <si>
    <t>m</t>
  </si>
  <si>
    <t>kus</t>
  </si>
  <si>
    <t>m3</t>
  </si>
  <si>
    <t>h</t>
  </si>
  <si>
    <t>t</t>
  </si>
  <si>
    <t>kpl.</t>
  </si>
  <si>
    <t>kpl</t>
  </si>
  <si>
    <t>Množství</t>
  </si>
  <si>
    <t>Objednatel:</t>
  </si>
  <si>
    <t>Projektant:</t>
  </si>
  <si>
    <t>Zhotovitel:</t>
  </si>
  <si>
    <t>Zpracoval:</t>
  </si>
  <si>
    <t>Cena/MJ</t>
  </si>
  <si>
    <t>(Kč)</t>
  </si>
  <si>
    <t> </t>
  </si>
  <si>
    <t>Náklady (Kč)</t>
  </si>
  <si>
    <t>Dodávka</t>
  </si>
  <si>
    <t>Celkem:</t>
  </si>
  <si>
    <t>Montáž</t>
  </si>
  <si>
    <t>Celkem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</si>
  <si>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</si>
  <si>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</si>
  <si>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</si>
  <si>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</si>
  <si>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</si>
  <si>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</si>
  <si>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</si>
  <si>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</si>
  <si>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</si>
  <si>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SO 21</t>
  </si>
  <si>
    <t>34_</t>
  </si>
  <si>
    <t>60_</t>
  </si>
  <si>
    <t>61_</t>
  </si>
  <si>
    <t>63_</t>
  </si>
  <si>
    <t>64_</t>
  </si>
  <si>
    <t>90_</t>
  </si>
  <si>
    <t>94_</t>
  </si>
  <si>
    <t>95_</t>
  </si>
  <si>
    <t>96_</t>
  </si>
  <si>
    <t>97_</t>
  </si>
  <si>
    <t>99_</t>
  </si>
  <si>
    <t>S_</t>
  </si>
  <si>
    <t>711_</t>
  </si>
  <si>
    <t>720_</t>
  </si>
  <si>
    <t>766_</t>
  </si>
  <si>
    <t>767_</t>
  </si>
  <si>
    <t>771_</t>
  </si>
  <si>
    <t>777_</t>
  </si>
  <si>
    <t>781_</t>
  </si>
  <si>
    <t>783_</t>
  </si>
  <si>
    <t>784_</t>
  </si>
  <si>
    <t>M22_</t>
  </si>
  <si>
    <t>3_</t>
  </si>
  <si>
    <t>6_</t>
  </si>
  <si>
    <t>9_</t>
  </si>
  <si>
    <t>71_</t>
  </si>
  <si>
    <t>72_</t>
  </si>
  <si>
    <t>76_</t>
  </si>
  <si>
    <t>77_</t>
  </si>
  <si>
    <t>78_</t>
  </si>
  <si>
    <t>_</t>
  </si>
  <si>
    <t>SO 21_</t>
  </si>
  <si>
    <t>MAT</t>
  </si>
  <si>
    <t>WORK</t>
  </si>
  <si>
    <t>CELK</t>
  </si>
  <si>
    <t>Slepý stavební rozpočet - rekapitulace</t>
  </si>
  <si>
    <t>Objekt</t>
  </si>
  <si>
    <t>Zkrácený popis</t>
  </si>
  <si>
    <t>Náklady (Kč) - dodávka</t>
  </si>
  <si>
    <t>Náklady (Kč) - Montáž</t>
  </si>
  <si>
    <t>Náklady (Kč) - celkem</t>
  </si>
  <si>
    <t>T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</si>
  <si>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</si>
  <si>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</si>
  <si>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</si>
  <si>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</si>
  <si>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</si>
  <si>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</si>
  <si>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</si>
  <si>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</si>
  <si>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</si>
  <si>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</si>
  <si>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</si>
  <si>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</si>
  <si>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</si>
  <si>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</si>
  <si>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</si>
  <si>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</si>
  <si>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</si>
  <si>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</si>
  <si>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</si>
  <si>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</si>
  <si>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</si>
  <si>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</si>
  <si>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</si>
  <si>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</si>
  <si>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</si>
  <si>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</si>
  <si>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</si>
  <si>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</si>
  <si>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</si>
  <si>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</si>
  <si>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</si>
  <si>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</si>
  <si>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</si>
  <si>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</si>
  <si>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</si>
  <si>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</si>
  <si>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</si>
  <si>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</si>
  <si>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</si>
  <si>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</si>
  <si>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</si>
  <si>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</si>
  <si>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</si>
  <si>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</si>
  <si>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Vedlejší rozpočtové náklady VRN</t>
  </si>
  <si>
    <t>Doplňkové náklady DN</t>
  </si>
  <si>
    <t>Celkem DN</t>
  </si>
  <si>
    <t>Celkem NUS</t>
  </si>
  <si>
    <t>Celkem VRN</t>
  </si>
  <si>
    <t>Ostatní rozpočtové náklady ORN</t>
  </si>
  <si>
    <t>Ostatní rozpočtové náklady (ORN)</t>
  </si>
  <si>
    <t>Celkem ORN</t>
  </si>
  <si>
    <t>Vedlejší a ostatní rozpočtové náklady</t>
  </si>
  <si>
    <t>Kč</t>
  </si>
  <si>
    <t>%</t>
  </si>
  <si>
    <t>Základna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</si>
</sst>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6">
    <font>
      <sz val="10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sz val="10"/>
      <color indexed="61"/>
      <name val="Arial"/>
      <family val="2"/>
    </font>
    <font>
      <sz val="10"/>
      <color indexed="62"/>
      <name val="Arial"/>
      <family val="2"/>
    </font>
    <font>
      <i/>
      <sz val="8"/>
      <color indexed="8"/>
      <name val="Arial"/>
      <family val="2"/>
    </font>
    <font>
      <b/>
      <sz val="10"/>
      <color indexed="56"/>
      <name val="Arial"/>
      <family val="2"/>
    </font>
    <font>
      <i/>
      <sz val="10"/>
      <color indexed="63"/>
      <name val="Arial"/>
      <family val="2"/>
    </font>
    <font>
      <sz val="10"/>
      <color indexed="59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>
        <color indexed="22"/>
      </left>
      <right/>
      <top style="thin">
        <color indexed="22"/>
      </top>
      <bottom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medium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 horizontal="left" vertical="center" wrapText="1"/>
      <protection/>
    </xf>
  </cellStyleXfs>
  <cellXfs count="181">
    <xf numFmtId="0" fontId="1" fillId="0" borderId="0" xfId="0" applyFont="1" applyAlignment="1">
      <alignment vertical="center"/>
    </xf>
    <xf numFmtId="49" fontId="3" fillId="0" borderId="1" xfId="0" applyNumberFormat="1" applyFont="1" applyFill="1" applyBorder="1" applyAlignment="1" applyProtection="1">
      <alignment horizontal="left" vertical="center"/>
      <protection/>
    </xf>
    <xf numFmtId="49" fontId="1" fillId="0" borderId="2" xfId="0" applyNumberFormat="1" applyFont="1" applyFill="1" applyBorder="1" applyAlignment="1" applyProtection="1">
      <alignment horizontal="left" vertical="center"/>
      <protection/>
    </xf>
    <xf numFmtId="49" fontId="4" fillId="2" borderId="3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2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vertical="center"/>
      <protection/>
    </xf>
    <xf numFmtId="0" fontId="1" fillId="0" borderId="5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6" xfId="0" applyNumberFormat="1" applyFont="1" applyFill="1" applyBorder="1" applyAlignment="1" applyProtection="1">
      <alignment horizontal="left" vertical="center"/>
      <protection/>
    </xf>
    <xf numFmtId="49" fontId="1" fillId="0" borderId="7" xfId="0" applyNumberFormat="1" applyFont="1" applyFill="1" applyBorder="1" applyAlignment="1" applyProtection="1">
      <alignment horizontal="left" vertical="center"/>
      <protection/>
    </xf>
    <xf numFmtId="49" fontId="8" fillId="2" borderId="3" xfId="0" applyNumberFormat="1" applyFont="1" applyFill="1" applyBorder="1" applyAlignment="1" applyProtection="1">
      <alignment horizontal="left" vertical="center"/>
      <protection/>
    </xf>
    <xf numFmtId="49" fontId="8" fillId="2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6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8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8" fillId="2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2" borderId="3" xfId="0" applyNumberFormat="1" applyFont="1" applyFill="1" applyBorder="1" applyAlignment="1" applyProtection="1">
      <alignment horizontal="right" vertical="center"/>
      <protection/>
    </xf>
    <xf numFmtId="4" fontId="8" fillId="2" borderId="0" xfId="0" applyNumberFormat="1" applyFont="1" applyFill="1" applyBorder="1" applyAlignment="1" applyProtection="1">
      <alignment horizontal="right" vertical="center"/>
      <protection/>
    </xf>
    <xf numFmtId="4" fontId="3" fillId="0" borderId="5" xfId="0" applyNumberFormat="1" applyFont="1" applyFill="1" applyBorder="1" applyAlignment="1" applyProtection="1">
      <alignment horizontal="righ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3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" fontId="1" fillId="0" borderId="3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12" fillId="3" borderId="18" xfId="0" applyNumberFormat="1" applyFont="1" applyFill="1" applyBorder="1" applyAlignment="1" applyProtection="1">
      <alignment horizontal="center" vertical="center"/>
      <protection/>
    </xf>
    <xf numFmtId="49" fontId="13" fillId="0" borderId="19" xfId="0" applyNumberFormat="1" applyFont="1" applyFill="1" applyBorder="1" applyAlignment="1" applyProtection="1">
      <alignment horizontal="left" vertical="center"/>
      <protection/>
    </xf>
    <xf numFmtId="49" fontId="13" fillId="0" borderId="20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49" fontId="7" fillId="0" borderId="3" xfId="0" applyNumberFormat="1" applyFont="1" applyFill="1" applyBorder="1" applyAlignment="1" applyProtection="1">
      <alignment horizontal="left" vertical="center"/>
      <protection/>
    </xf>
    <xf numFmtId="49" fontId="14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3" xfId="0" applyNumberFormat="1" applyFont="1" applyFill="1" applyBorder="1" applyAlignment="1" applyProtection="1">
      <alignment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" fontId="14" fillId="0" borderId="18" xfId="0" applyNumberFormat="1" applyFont="1" applyFill="1" applyBorder="1" applyAlignment="1" applyProtection="1">
      <alignment horizontal="right" vertical="center"/>
      <protection/>
    </xf>
    <xf numFmtId="49" fontId="14" fillId="0" borderId="18" xfId="0" applyNumberFormat="1" applyFont="1" applyFill="1" applyBorder="1" applyAlignment="1" applyProtection="1">
      <alignment horizontal="right" vertical="center"/>
      <protection/>
    </xf>
    <xf numFmtId="4" fontId="14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3" fillId="3" borderId="26" xfId="0" applyNumberFormat="1" applyFont="1" applyFill="1" applyBorder="1" applyAlignment="1" applyProtection="1">
      <alignment horizontal="right"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49" fontId="3" fillId="0" borderId="29" xfId="0" applyNumberFormat="1" applyFont="1" applyFill="1" applyBorder="1" applyAlignment="1" applyProtection="1">
      <alignment horizontal="right" vertical="center"/>
      <protection/>
    </xf>
    <xf numFmtId="4" fontId="1" fillId="0" borderId="18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9" fontId="3" fillId="0" borderId="30" xfId="0" applyNumberFormat="1" applyFont="1" applyFill="1" applyBorder="1" applyAlignment="1" applyProtection="1">
      <alignment horizontal="left" vertical="center"/>
      <protection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3" fillId="0" borderId="30" xfId="0" applyNumberFormat="1" applyFont="1" applyFill="1" applyBorder="1" applyAlignment="1" applyProtection="1">
      <alignment horizontal="right" vertical="center"/>
      <protection/>
    </xf>
    <xf numFmtId="4" fontId="3" fillId="0" borderId="30" xfId="0" applyNumberFormat="1" applyFont="1" applyFill="1" applyBorder="1" applyAlignment="1" applyProtection="1">
      <alignment horizontal="right" vertical="center"/>
      <protection/>
    </xf>
    <xf numFmtId="0" fontId="1" fillId="0" borderId="4" xfId="0" applyNumberFormat="1" applyFont="1" applyFill="1" applyBorder="1" applyAlignment="1" applyProtection="1">
      <alignment/>
      <protection/>
    </xf>
    <xf numFmtId="164" fontId="5" fillId="0" borderId="0" xfId="0" applyNumberFormat="1" applyFont="1" applyFill="1" applyBorder="1" applyAlignment="1" applyProtection="1">
      <alignment horizontal="right" vertical="center"/>
      <protection/>
    </xf>
    <xf numFmtId="164" fontId="9" fillId="0" borderId="0" xfId="0" applyNumberFormat="1" applyFont="1" applyFill="1" applyBorder="1" applyAlignment="1" applyProtection="1">
      <alignment horizontal="right" vertical="center"/>
      <protection/>
    </xf>
    <xf numFmtId="164" fontId="6" fillId="0" borderId="0" xfId="0" applyNumberFormat="1" applyFont="1" applyFill="1" applyBorder="1" applyAlignment="1" applyProtection="1">
      <alignment horizontal="right" vertical="center"/>
      <protection/>
    </xf>
    <xf numFmtId="49" fontId="5" fillId="4" borderId="31" xfId="0" applyNumberFormat="1" applyFont="1" applyFill="1" applyBorder="1" applyAlignment="1" applyProtection="1">
      <alignment horizontal="left" vertical="center"/>
      <protection/>
    </xf>
    <xf numFmtId="0" fontId="0" fillId="4" borderId="32" xfId="20" applyNumberFormat="1" applyFill="1" applyBorder="1" applyAlignment="1" applyProtection="1">
      <alignment/>
      <protection/>
    </xf>
    <xf numFmtId="164" fontId="5" fillId="4" borderId="31" xfId="0" applyNumberFormat="1" applyFont="1" applyFill="1" applyBorder="1" applyAlignment="1" applyProtection="1">
      <alignment horizontal="right" vertical="center"/>
      <protection/>
    </xf>
    <xf numFmtId="4" fontId="5" fillId="4" borderId="31" xfId="0" applyNumberFormat="1" applyFont="1" applyFill="1" applyBorder="1" applyAlignment="1" applyProtection="1">
      <alignment horizontal="right" vertical="center"/>
      <protection/>
    </xf>
    <xf numFmtId="164" fontId="9" fillId="4" borderId="32" xfId="0" applyNumberFormat="1" applyFont="1" applyFill="1" applyBorder="1" applyAlignment="1" applyProtection="1">
      <alignment horizontal="right" vertical="center"/>
      <protection/>
    </xf>
    <xf numFmtId="0" fontId="0" fillId="4" borderId="31" xfId="20" applyNumberFormat="1" applyFill="1" applyBorder="1" applyAlignment="1" applyProtection="1">
      <alignment/>
      <protection/>
    </xf>
    <xf numFmtId="164" fontId="9" fillId="4" borderId="31" xfId="0" applyNumberFormat="1" applyFont="1" applyFill="1" applyBorder="1" applyAlignment="1" applyProtection="1">
      <alignment horizontal="right" vertical="center"/>
      <protection/>
    </xf>
    <xf numFmtId="49" fontId="5" fillId="4" borderId="0" xfId="0" applyNumberFormat="1" applyFont="1" applyFill="1" applyBorder="1" applyAlignment="1" applyProtection="1">
      <alignment horizontal="left" vertical="center"/>
      <protection/>
    </xf>
    <xf numFmtId="164" fontId="5" fillId="4" borderId="0" xfId="0" applyNumberFormat="1" applyFont="1" applyFill="1" applyBorder="1" applyAlignment="1" applyProtection="1">
      <alignment horizontal="right" vertical="center"/>
      <protection/>
    </xf>
    <xf numFmtId="4" fontId="5" fillId="4" borderId="0" xfId="0" applyNumberFormat="1" applyFont="1" applyFill="1" applyBorder="1" applyAlignment="1" applyProtection="1">
      <alignment horizontal="right" vertical="center"/>
      <protection/>
    </xf>
    <xf numFmtId="0" fontId="0" fillId="4" borderId="0" xfId="20" applyNumberFormat="1" applyFill="1" applyBorder="1" applyAlignment="1" applyProtection="1">
      <alignment/>
      <protection/>
    </xf>
    <xf numFmtId="164" fontId="9" fillId="4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14" fillId="0" borderId="14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33" xfId="0" applyNumberFormat="1" applyFont="1" applyFill="1" applyBorder="1" applyAlignment="1" applyProtection="1">
      <alignment horizontal="left" vertical="center"/>
      <protection/>
    </xf>
    <xf numFmtId="49" fontId="14" fillId="0" borderId="34" xfId="0" applyNumberFormat="1" applyFont="1" applyFill="1" applyBorder="1" applyAlignment="1" applyProtection="1">
      <alignment horizontal="left" vertical="center"/>
      <protection/>
    </xf>
    <xf numFmtId="0" fontId="14" fillId="0" borderId="28" xfId="0" applyNumberFormat="1" applyFont="1" applyFill="1" applyBorder="1" applyAlignment="1" applyProtection="1">
      <alignment horizontal="left" vertical="center"/>
      <protection/>
    </xf>
    <xf numFmtId="0" fontId="14" fillId="0" borderId="35" xfId="0" applyNumberFormat="1" applyFont="1" applyFill="1" applyBorder="1" applyAlignment="1" applyProtection="1">
      <alignment horizontal="left" vertical="center"/>
      <protection/>
    </xf>
    <xf numFmtId="49" fontId="13" fillId="3" borderId="36" xfId="0" applyNumberFormat="1" applyFont="1" applyFill="1" applyBorder="1" applyAlignment="1" applyProtection="1">
      <alignment horizontal="left" vertical="center"/>
      <protection/>
    </xf>
    <xf numFmtId="0" fontId="13" fillId="3" borderId="37" xfId="0" applyNumberFormat="1" applyFont="1" applyFill="1" applyBorder="1" applyAlignment="1" applyProtection="1">
      <alignment horizontal="left" vertical="center"/>
      <protection/>
    </xf>
    <xf numFmtId="49" fontId="14" fillId="0" borderId="38" xfId="0" applyNumberFormat="1" applyFont="1" applyFill="1" applyBorder="1" applyAlignment="1" applyProtection="1">
      <alignment horizontal="left" vertical="center"/>
      <protection/>
    </xf>
    <xf numFmtId="0" fontId="14" fillId="0" borderId="3" xfId="0" applyNumberFormat="1" applyFont="1" applyFill="1" applyBorder="1" applyAlignment="1" applyProtection="1">
      <alignment horizontal="left" vertical="center"/>
      <protection/>
    </xf>
    <xf numFmtId="0" fontId="14" fillId="0" borderId="39" xfId="0" applyNumberFormat="1" applyFont="1" applyFill="1" applyBorder="1" applyAlignment="1" applyProtection="1">
      <alignment horizontal="left" vertical="center"/>
      <protection/>
    </xf>
    <xf numFmtId="49" fontId="13" fillId="0" borderId="36" xfId="0" applyNumberFormat="1" applyFont="1" applyFill="1" applyBorder="1" applyAlignment="1" applyProtection="1">
      <alignment horizontal="left" vertical="center"/>
      <protection/>
    </xf>
    <xf numFmtId="0" fontId="13" fillId="0" borderId="26" xfId="0" applyNumberFormat="1" applyFont="1" applyFill="1" applyBorder="1" applyAlignment="1" applyProtection="1">
      <alignment horizontal="left" vertical="center"/>
      <protection/>
    </xf>
    <xf numFmtId="49" fontId="14" fillId="0" borderId="36" xfId="0" applyNumberFormat="1" applyFont="1" applyFill="1" applyBorder="1" applyAlignment="1" applyProtection="1">
      <alignment horizontal="left" vertical="center"/>
      <protection/>
    </xf>
    <xf numFmtId="0" fontId="14" fillId="0" borderId="26" xfId="0" applyNumberFormat="1" applyFont="1" applyFill="1" applyBorder="1" applyAlignment="1" applyProtection="1">
      <alignment horizontal="left" vertical="center"/>
      <protection/>
    </xf>
    <xf numFmtId="49" fontId="11" fillId="0" borderId="37" xfId="0" applyNumberFormat="1" applyFont="1" applyFill="1" applyBorder="1" applyAlignment="1" applyProtection="1">
      <alignment horizontal="center" vertical="center"/>
      <protection/>
    </xf>
    <xf numFmtId="0" fontId="11" fillId="0" borderId="37" xfId="0" applyNumberFormat="1" applyFont="1" applyFill="1" applyBorder="1" applyAlignment="1" applyProtection="1">
      <alignment horizontal="center" vertical="center"/>
      <protection/>
    </xf>
    <xf numFmtId="49" fontId="15" fillId="0" borderId="36" xfId="0" applyNumberFormat="1" applyFont="1" applyFill="1" applyBorder="1" applyAlignment="1" applyProtection="1">
      <alignment horizontal="left" vertical="center"/>
      <protection/>
    </xf>
    <xf numFmtId="0" fontId="15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2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49" fontId="1" fillId="0" borderId="25" xfId="0" applyNumberFormat="1" applyFont="1" applyFill="1" applyBorder="1" applyAlignment="1" applyProtection="1">
      <alignment horizontal="left" vertical="center"/>
      <protection/>
    </xf>
    <xf numFmtId="0" fontId="1" fillId="0" borderId="25" xfId="0" applyNumberFormat="1" applyFont="1" applyFill="1" applyBorder="1" applyAlignment="1" applyProtection="1">
      <alignment horizontal="left" vertical="center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 applyProtection="1">
      <alignment horizontal="left" vertical="center" wrapText="1"/>
      <protection/>
    </xf>
    <xf numFmtId="0" fontId="1" fillId="0" borderId="5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5" xfId="0" applyNumberFormat="1" applyFont="1" applyFill="1" applyBorder="1" applyAlignment="1" applyProtection="1">
      <alignment horizontal="left" vertical="center" wrapText="1"/>
      <protection/>
    </xf>
    <xf numFmtId="49" fontId="1" fillId="0" borderId="22" xfId="0" applyNumberFormat="1" applyFont="1" applyFill="1" applyBorder="1" applyAlignment="1" applyProtection="1">
      <alignment horizontal="left" vertical="center"/>
      <protection/>
    </xf>
    <xf numFmtId="49" fontId="1" fillId="0" borderId="42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43" xfId="0" applyNumberFormat="1" applyFont="1" applyFill="1" applyBorder="1" applyAlignment="1" applyProtection="1">
      <alignment horizontal="left" vertical="center"/>
      <protection/>
    </xf>
    <xf numFmtId="49" fontId="3" fillId="0" borderId="44" xfId="0" applyNumberFormat="1" applyFont="1" applyFill="1" applyBorder="1" applyAlignment="1" applyProtection="1">
      <alignment horizontal="left" vertical="center"/>
      <protection/>
    </xf>
    <xf numFmtId="0" fontId="3" fillId="0" borderId="27" xfId="0" applyNumberFormat="1" applyFont="1" applyFill="1" applyBorder="1" applyAlignment="1" applyProtection="1">
      <alignment horizontal="left" vertical="center"/>
      <protection/>
    </xf>
    <xf numFmtId="0" fontId="3" fillId="0" borderId="45" xfId="0" applyNumberFormat="1" applyFont="1" applyFill="1" applyBorder="1" applyAlignment="1" applyProtection="1">
      <alignment horizontal="left" vertical="center"/>
      <protection/>
    </xf>
    <xf numFmtId="49" fontId="13" fillId="0" borderId="44" xfId="0" applyNumberFormat="1" applyFont="1" applyFill="1" applyBorder="1" applyAlignment="1" applyProtection="1">
      <alignment horizontal="left" vertical="center"/>
      <protection/>
    </xf>
    <xf numFmtId="0" fontId="13" fillId="0" borderId="27" xfId="0" applyNumberFormat="1" applyFont="1" applyFill="1" applyBorder="1" applyAlignment="1" applyProtection="1">
      <alignment horizontal="left" vertical="center"/>
      <protection/>
    </xf>
    <xf numFmtId="0" fontId="13" fillId="0" borderId="45" xfId="0" applyNumberFormat="1" applyFont="1" applyFill="1" applyBorder="1" applyAlignment="1" applyProtection="1">
      <alignment horizontal="left" vertical="center"/>
      <protection/>
    </xf>
    <xf numFmtId="4" fontId="13" fillId="0" borderId="44" xfId="0" applyNumberFormat="1" applyFont="1" applyFill="1" applyBorder="1" applyAlignment="1" applyProtection="1">
      <alignment horizontal="right" vertical="center"/>
      <protection/>
    </xf>
    <xf numFmtId="0" fontId="13" fillId="0" borderId="27" xfId="0" applyNumberFormat="1" applyFont="1" applyFill="1" applyBorder="1" applyAlignment="1" applyProtection="1">
      <alignment horizontal="right" vertical="center"/>
      <protection/>
    </xf>
    <xf numFmtId="0" fontId="13" fillId="0" borderId="45" xfId="0" applyNumberFormat="1" applyFont="1" applyFill="1" applyBorder="1" applyAlignment="1" applyProtection="1">
      <alignment horizontal="right" vertical="center"/>
      <protection/>
    </xf>
    <xf numFmtId="49" fontId="13" fillId="0" borderId="28" xfId="0" applyNumberFormat="1" applyFont="1" applyFill="1" applyBorder="1" applyAlignment="1" applyProtection="1">
      <alignment horizontal="left" vertical="center"/>
      <protection/>
    </xf>
    <xf numFmtId="0" fontId="13" fillId="0" borderId="28" xfId="0" applyNumberFormat="1" applyFont="1" applyFill="1" applyBorder="1" applyAlignment="1" applyProtection="1">
      <alignment horizontal="left" vertical="center"/>
      <protection/>
    </xf>
    <xf numFmtId="49" fontId="3" fillId="0" borderId="46" xfId="0" applyNumberFormat="1" applyFont="1" applyFill="1" applyBorder="1" applyAlignment="1" applyProtection="1">
      <alignment horizontal="left" vertical="center"/>
      <protection/>
    </xf>
    <xf numFmtId="0" fontId="3" fillId="0" borderId="47" xfId="0" applyNumberFormat="1" applyFont="1" applyFill="1" applyBorder="1" applyAlignment="1" applyProtection="1">
      <alignment horizontal="left" vertical="center"/>
      <protection/>
    </xf>
    <xf numFmtId="0" fontId="3" fillId="0" borderId="48" xfId="0" applyNumberFormat="1" applyFont="1" applyFill="1" applyBorder="1" applyAlignment="1" applyProtection="1">
      <alignment horizontal="left" vertical="center"/>
      <protection/>
    </xf>
    <xf numFmtId="49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37" xfId="0" applyNumberFormat="1" applyFont="1" applyFill="1" applyBorder="1" applyAlignment="1" applyProtection="1">
      <alignment horizontal="left" vertical="center"/>
      <protection/>
    </xf>
    <xf numFmtId="0" fontId="1" fillId="0" borderId="26" xfId="0" applyNumberFormat="1" applyFont="1" applyFill="1" applyBorder="1" applyAlignment="1" applyProtection="1">
      <alignment horizontal="left" vertical="center"/>
      <protection/>
    </xf>
    <xf numFmtId="49" fontId="3" fillId="0" borderId="49" xfId="0" applyNumberFormat="1" applyFont="1" applyFill="1" applyBorder="1" applyAlignment="1" applyProtection="1">
      <alignment horizontal="left" vertical="center"/>
      <protection/>
    </xf>
    <xf numFmtId="0" fontId="3" fillId="0" borderId="50" xfId="0" applyNumberFormat="1" applyFont="1" applyFill="1" applyBorder="1" applyAlignment="1" applyProtection="1">
      <alignment horizontal="left" vertical="center"/>
      <protection/>
    </xf>
    <xf numFmtId="49" fontId="1" fillId="0" borderId="3" xfId="0" applyNumberFormat="1" applyFont="1" applyFill="1" applyBorder="1" applyAlignment="1" applyProtection="1">
      <alignment horizontal="left" vertical="center"/>
      <protection/>
    </xf>
    <xf numFmtId="0" fontId="1" fillId="0" borderId="3" xfId="0" applyNumberFormat="1" applyFont="1" applyFill="1" applyBorder="1" applyAlignment="1" applyProtection="1">
      <alignment horizontal="left" vertical="center"/>
      <protection/>
    </xf>
    <xf numFmtId="0" fontId="1" fillId="0" borderId="51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52" xfId="0" applyNumberFormat="1" applyFont="1" applyFill="1" applyBorder="1" applyAlignment="1" applyProtection="1">
      <alignment horizontal="left" vertical="center"/>
      <protection/>
    </xf>
    <xf numFmtId="49" fontId="2" fillId="0" borderId="4" xfId="0" applyNumberFormat="1" applyFont="1" applyFill="1" applyBorder="1" applyAlignment="1" applyProtection="1">
      <alignment horizont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4" xfId="0" applyNumberFormat="1" applyFont="1" applyFill="1" applyBorder="1" applyAlignment="1" applyProtection="1">
      <alignment horizontal="left" vertical="center" wrapText="1"/>
      <protection/>
    </xf>
    <xf numFmtId="0" fontId="10" fillId="0" borderId="4" xfId="0" applyNumberFormat="1" applyFont="1" applyFill="1" applyBorder="1" applyAlignment="1" applyProtection="1">
      <alignment horizontal="left" vertical="center"/>
      <protection/>
    </xf>
    <xf numFmtId="49" fontId="3" fillId="0" borderId="5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49" fontId="8" fillId="2" borderId="0" xfId="0" applyNumberFormat="1" applyFont="1" applyFill="1" applyBorder="1" applyAlignment="1" applyProtection="1">
      <alignment horizontal="left" vertical="center"/>
      <protection/>
    </xf>
    <xf numFmtId="0" fontId="8" fillId="2" borderId="0" xfId="0" applyNumberFormat="1" applyFont="1" applyFill="1" applyBorder="1" applyAlignment="1" applyProtection="1">
      <alignment horizontal="left" vertical="center"/>
      <protection/>
    </xf>
    <xf numFmtId="49" fontId="9" fillId="4" borderId="0" xfId="0" applyNumberFormat="1" applyFont="1" applyFill="1" applyBorder="1" applyAlignment="1" applyProtection="1">
      <alignment horizontal="left" vertical="center"/>
      <protection/>
    </xf>
    <xf numFmtId="49" fontId="5" fillId="4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49" fontId="5" fillId="4" borderId="53" xfId="0" applyNumberFormat="1" applyFont="1" applyFill="1" applyBorder="1" applyAlignment="1" applyProtection="1">
      <alignment horizontal="left" vertical="center"/>
      <protection/>
    </xf>
    <xf numFmtId="0" fontId="5" fillId="0" borderId="31" xfId="0" applyNumberFormat="1" applyFont="1" applyFill="1" applyBorder="1" applyAlignment="1" applyProtection="1">
      <alignment horizontal="left" vertical="center"/>
      <protection/>
    </xf>
    <xf numFmtId="49" fontId="9" fillId="4" borderId="53" xfId="0" applyNumberFormat="1" applyFont="1" applyFill="1" applyBorder="1" applyAlignment="1" applyProtection="1">
      <alignment horizontal="left" vertical="center"/>
      <protection/>
    </xf>
    <xf numFmtId="0" fontId="9" fillId="0" borderId="31" xfId="0" applyNumberFormat="1" applyFont="1" applyFill="1" applyBorder="1" applyAlignment="1" applyProtection="1">
      <alignment horizontal="left" vertical="center"/>
      <protection/>
    </xf>
    <xf numFmtId="49" fontId="9" fillId="4" borderId="54" xfId="0" applyNumberFormat="1" applyFont="1" applyFill="1" applyBorder="1" applyAlignment="1" applyProtection="1">
      <alignment horizontal="left" vertical="center"/>
      <protection/>
    </xf>
    <xf numFmtId="0" fontId="9" fillId="0" borderId="32" xfId="0" applyNumberFormat="1" applyFont="1" applyFill="1" applyBorder="1" applyAlignment="1" applyProtection="1">
      <alignment horizontal="left" vertical="center"/>
      <protection/>
    </xf>
    <xf numFmtId="49" fontId="3" fillId="0" borderId="55" xfId="0" applyNumberFormat="1" applyFont="1" applyFill="1" applyBorder="1" applyAlignment="1" applyProtection="1">
      <alignment horizontal="left" vertical="center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3" fillId="0" borderId="24" xfId="0" applyNumberFormat="1" applyFont="1" applyFill="1" applyBorder="1" applyAlignment="1" applyProtection="1">
      <alignment horizontal="left" vertical="center"/>
      <protection/>
    </xf>
    <xf numFmtId="49" fontId="3" fillId="0" borderId="46" xfId="0" applyNumberFormat="1" applyFont="1" applyFill="1" applyBorder="1" applyAlignment="1" applyProtection="1">
      <alignment horizontal="center" vertical="center"/>
      <protection/>
    </xf>
    <xf numFmtId="0" fontId="3" fillId="0" borderId="47" xfId="0" applyNumberFormat="1" applyFont="1" applyFill="1" applyBorder="1" applyAlignment="1" applyProtection="1">
      <alignment horizontal="center" vertical="center"/>
      <protection/>
    </xf>
    <xf numFmtId="0" fontId="3" fillId="0" borderId="48" xfId="0" applyNumberFormat="1" applyFont="1" applyFill="1" applyBorder="1" applyAlignment="1" applyProtection="1">
      <alignment horizontal="center" vertical="center"/>
      <protection/>
    </xf>
    <xf numFmtId="49" fontId="3" fillId="0" borderId="51" xfId="0" applyNumberFormat="1" applyFont="1" applyFill="1" applyBorder="1" applyAlignment="1" applyProtection="1">
      <alignment horizontal="left" vertical="center"/>
      <protection/>
    </xf>
    <xf numFmtId="0" fontId="3" fillId="0" borderId="28" xfId="0" applyNumberFormat="1" applyFont="1" applyFill="1" applyBorder="1" applyAlignment="1" applyProtection="1">
      <alignment horizontal="left" vertical="center"/>
      <protection/>
    </xf>
    <xf numFmtId="0" fontId="3" fillId="0" borderId="52" xfId="0" applyNumberFormat="1" applyFont="1" applyFill="1" applyBorder="1" applyAlignment="1" applyProtection="1">
      <alignment horizontal="left" vertical="center"/>
      <protection/>
    </xf>
    <xf numFmtId="49" fontId="8" fillId="2" borderId="3" xfId="0" applyNumberFormat="1" applyFont="1" applyFill="1" applyBorder="1" applyAlignment="1" applyProtection="1">
      <alignment horizontal="left" vertical="center"/>
      <protection/>
    </xf>
    <xf numFmtId="0" fontId="8" fillId="2" borderId="3" xfId="0" applyNumberFormat="1" applyFont="1" applyFill="1" applyBorder="1" applyAlignment="1" applyProtection="1">
      <alignment horizontal="left" vertical="center"/>
      <protection/>
    </xf>
    <xf numFmtId="49" fontId="1" fillId="0" borderId="5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workbookViewId="0" topLeftCell="A1"/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9" customHeight="1">
      <c r="A1" s="65"/>
      <c r="B1" s="7"/>
      <c r="C1" s="110" t="s">
        <v>639</v>
      </c>
      <c r="D1" s="111"/>
      <c r="E1" s="111"/>
      <c r="F1" s="111"/>
      <c r="G1" s="111"/>
      <c r="H1" s="111"/>
      <c r="I1" s="111"/>
    </row>
    <row r="2" spans="1:10" ht="12.75">
      <c r="A2" s="112" t="s">
        <v>1</v>
      </c>
      <c r="B2" s="113"/>
      <c r="C2" s="114" t="str">
        <f>'Stavební rozpočet'!C2</f>
        <v>Oprava rozvodů vody - zámek Vyškov</v>
      </c>
      <c r="D2" s="115"/>
      <c r="E2" s="117" t="s">
        <v>560</v>
      </c>
      <c r="F2" s="117" t="str">
        <f>'Stavební rozpočet'!I2</f>
        <v> </v>
      </c>
      <c r="G2" s="113"/>
      <c r="H2" s="117" t="s">
        <v>664</v>
      </c>
      <c r="I2" s="118"/>
      <c r="J2" s="26"/>
    </row>
    <row r="3" spans="1:10" ht="12.75">
      <c r="A3" s="107"/>
      <c r="B3" s="81"/>
      <c r="C3" s="116"/>
      <c r="D3" s="116"/>
      <c r="E3" s="81"/>
      <c r="F3" s="81"/>
      <c r="G3" s="81"/>
      <c r="H3" s="81"/>
      <c r="I3" s="109"/>
      <c r="J3" s="26"/>
    </row>
    <row r="4" spans="1:10" ht="12.75">
      <c r="A4" s="101" t="s">
        <v>2</v>
      </c>
      <c r="B4" s="81"/>
      <c r="C4" s="1" t="str">
        <f>'Stavební rozpočet'!C4</f>
        <v>b.Hygienické zařízení</v>
      </c>
      <c r="D4" s="81"/>
      <c r="E4" s="1" t="s">
        <v>561</v>
      </c>
      <c r="F4" s="1" t="str">
        <f>'Stavební rozpočet'!I4</f>
        <v> </v>
      </c>
      <c r="G4" s="81"/>
      <c r="H4" s="1" t="s">
        <v>664</v>
      </c>
      <c r="I4" s="108"/>
      <c r="J4" s="26"/>
    </row>
    <row r="5" spans="1:10" ht="12.75">
      <c r="A5" s="107"/>
      <c r="B5" s="81"/>
      <c r="C5" s="81"/>
      <c r="D5" s="81"/>
      <c r="E5" s="81"/>
      <c r="F5" s="81"/>
      <c r="G5" s="81"/>
      <c r="H5" s="81"/>
      <c r="I5" s="109"/>
      <c r="J5" s="26"/>
    </row>
    <row r="6" spans="1:10" ht="12.75">
      <c r="A6" s="101" t="s">
        <v>3</v>
      </c>
      <c r="B6" s="81"/>
      <c r="C6" s="1" t="str">
        <f>'Stavební rozpočet'!C6</f>
        <v>náměstí Čsl. armády 475/2, Vyškov - Město, 682 01</v>
      </c>
      <c r="D6" s="81"/>
      <c r="E6" s="1" t="s">
        <v>562</v>
      </c>
      <c r="F6" s="1" t="str">
        <f>'Stavební rozpočet'!I6</f>
        <v> </v>
      </c>
      <c r="G6" s="81"/>
      <c r="H6" s="1" t="s">
        <v>664</v>
      </c>
      <c r="I6" s="108"/>
      <c r="J6" s="26"/>
    </row>
    <row r="7" spans="1:10" ht="12.75">
      <c r="A7" s="107"/>
      <c r="B7" s="81"/>
      <c r="C7" s="81"/>
      <c r="D7" s="81"/>
      <c r="E7" s="81"/>
      <c r="F7" s="81"/>
      <c r="G7" s="81"/>
      <c r="H7" s="81"/>
      <c r="I7" s="109"/>
      <c r="J7" s="26"/>
    </row>
    <row r="8" spans="1:10" ht="12.75">
      <c r="A8" s="101" t="s">
        <v>546</v>
      </c>
      <c r="B8" s="81"/>
      <c r="C8" s="1" t="str">
        <f>'Stavební rozpočet'!F4</f>
        <v xml:space="preserve"> </v>
      </c>
      <c r="D8" s="81"/>
      <c r="E8" s="1" t="s">
        <v>547</v>
      </c>
      <c r="F8" s="1" t="str">
        <f>'Stavební rozpočet'!F6</f>
        <v xml:space="preserve"> </v>
      </c>
      <c r="G8" s="81"/>
      <c r="H8" s="104" t="s">
        <v>665</v>
      </c>
      <c r="I8" s="108" t="s">
        <v>100</v>
      </c>
      <c r="J8" s="26"/>
    </row>
    <row r="9" spans="1:10" ht="12.75">
      <c r="A9" s="107"/>
      <c r="B9" s="81"/>
      <c r="C9" s="81"/>
      <c r="D9" s="81"/>
      <c r="E9" s="81"/>
      <c r="F9" s="81"/>
      <c r="G9" s="81"/>
      <c r="H9" s="81"/>
      <c r="I9" s="109"/>
      <c r="J9" s="26"/>
    </row>
    <row r="10" spans="1:10" ht="12.75">
      <c r="A10" s="101" t="s">
        <v>4</v>
      </c>
      <c r="B10" s="81"/>
      <c r="C10" s="1" t="str">
        <f>'Stavební rozpočet'!C8</f>
        <v xml:space="preserve"> </v>
      </c>
      <c r="D10" s="81"/>
      <c r="E10" s="1" t="s">
        <v>563</v>
      </c>
      <c r="F10" s="1" t="str">
        <f>'Stavební rozpočet'!I8</f>
        <v> </v>
      </c>
      <c r="G10" s="81"/>
      <c r="H10" s="104" t="s">
        <v>666</v>
      </c>
      <c r="I10" s="105" t="str">
        <f>'Stavební rozpočet'!F8</f>
        <v>07.05.2019</v>
      </c>
      <c r="J10" s="26"/>
    </row>
    <row r="11" spans="1:10" ht="12.75">
      <c r="A11" s="102"/>
      <c r="B11" s="103"/>
      <c r="C11" s="103"/>
      <c r="D11" s="103"/>
      <c r="E11" s="103"/>
      <c r="F11" s="103"/>
      <c r="G11" s="103"/>
      <c r="H11" s="103"/>
      <c r="I11" s="106"/>
      <c r="J11" s="26"/>
    </row>
    <row r="12" spans="1:9" ht="23.4" customHeight="1">
      <c r="A12" s="97" t="s">
        <v>624</v>
      </c>
      <c r="B12" s="98"/>
      <c r="C12" s="98"/>
      <c r="D12" s="98"/>
      <c r="E12" s="98"/>
      <c r="F12" s="98"/>
      <c r="G12" s="98"/>
      <c r="H12" s="98"/>
      <c r="I12" s="98"/>
    </row>
    <row r="13" spans="1:10" ht="26.4" customHeight="1">
      <c r="A13" s="40" t="s">
        <v>625</v>
      </c>
      <c r="B13" s="99" t="s">
        <v>637</v>
      </c>
      <c r="C13" s="100"/>
      <c r="D13" s="40" t="s">
        <v>640</v>
      </c>
      <c r="E13" s="99" t="s">
        <v>649</v>
      </c>
      <c r="F13" s="100"/>
      <c r="G13" s="40" t="s">
        <v>650</v>
      </c>
      <c r="H13" s="99" t="s">
        <v>667</v>
      </c>
      <c r="I13" s="100"/>
      <c r="J13" s="26"/>
    </row>
    <row r="14" spans="1:10" ht="15.15" customHeight="1">
      <c r="A14" s="41" t="s">
        <v>626</v>
      </c>
      <c r="B14" s="45" t="s">
        <v>638</v>
      </c>
      <c r="C14" s="49">
        <f>SUM('Stavební rozpočet'!AA12:AA400)</f>
        <v>0</v>
      </c>
      <c r="D14" s="95" t="s">
        <v>641</v>
      </c>
      <c r="E14" s="96"/>
      <c r="F14" s="49">
        <f>VORN!I15</f>
        <v>0</v>
      </c>
      <c r="G14" s="95" t="s">
        <v>651</v>
      </c>
      <c r="H14" s="96"/>
      <c r="I14" s="49">
        <f>VORN!I21</f>
        <v>0</v>
      </c>
      <c r="J14" s="26"/>
    </row>
    <row r="15" spans="1:10" ht="15.15" customHeight="1">
      <c r="A15" s="42"/>
      <c r="B15" s="45" t="s">
        <v>570</v>
      </c>
      <c r="C15" s="49">
        <f>SUM('Stavební rozpočet'!AB12:AB400)</f>
        <v>0</v>
      </c>
      <c r="D15" s="95" t="s">
        <v>642</v>
      </c>
      <c r="E15" s="96"/>
      <c r="F15" s="49">
        <f>VORN!I16</f>
        <v>0</v>
      </c>
      <c r="G15" s="95" t="s">
        <v>652</v>
      </c>
      <c r="H15" s="96"/>
      <c r="I15" s="49">
        <f>VORN!I22</f>
        <v>0</v>
      </c>
      <c r="J15" s="26"/>
    </row>
    <row r="16" spans="1:10" ht="15.15" customHeight="1">
      <c r="A16" s="41" t="s">
        <v>627</v>
      </c>
      <c r="B16" s="45" t="s">
        <v>638</v>
      </c>
      <c r="C16" s="49">
        <f>SUM('Stavební rozpočet'!AC12:AC400)</f>
        <v>0</v>
      </c>
      <c r="D16" s="95" t="s">
        <v>643</v>
      </c>
      <c r="E16" s="96"/>
      <c r="F16" s="49">
        <f>VORN!I17</f>
        <v>0</v>
      </c>
      <c r="G16" s="95" t="s">
        <v>653</v>
      </c>
      <c r="H16" s="96"/>
      <c r="I16" s="49">
        <f>VORN!I23</f>
        <v>0</v>
      </c>
      <c r="J16" s="26"/>
    </row>
    <row r="17" spans="1:10" ht="15.15" customHeight="1">
      <c r="A17" s="42"/>
      <c r="B17" s="45" t="s">
        <v>570</v>
      </c>
      <c r="C17" s="49">
        <f>SUM('Stavební rozpočet'!AD12:AD400)</f>
        <v>0</v>
      </c>
      <c r="D17" s="95"/>
      <c r="E17" s="96"/>
      <c r="F17" s="50"/>
      <c r="G17" s="95" t="s">
        <v>654</v>
      </c>
      <c r="H17" s="96"/>
      <c r="I17" s="49">
        <f>VORN!I24</f>
        <v>0</v>
      </c>
      <c r="J17" s="26"/>
    </row>
    <row r="18" spans="1:10" ht="15.15" customHeight="1">
      <c r="A18" s="41" t="s">
        <v>628</v>
      </c>
      <c r="B18" s="45" t="s">
        <v>638</v>
      </c>
      <c r="C18" s="49">
        <f>SUM('Stavební rozpočet'!AE12:AE400)</f>
        <v>0</v>
      </c>
      <c r="D18" s="95"/>
      <c r="E18" s="96"/>
      <c r="F18" s="50"/>
      <c r="G18" s="95" t="s">
        <v>655</v>
      </c>
      <c r="H18" s="96"/>
      <c r="I18" s="49">
        <f>VORN!I25</f>
        <v>0</v>
      </c>
      <c r="J18" s="26"/>
    </row>
    <row r="19" spans="1:10" ht="15.15" customHeight="1">
      <c r="A19" s="42"/>
      <c r="B19" s="45" t="s">
        <v>570</v>
      </c>
      <c r="C19" s="49">
        <f>SUM('Stavební rozpočet'!AF12:AF400)</f>
        <v>0</v>
      </c>
      <c r="D19" s="95"/>
      <c r="E19" s="96"/>
      <c r="F19" s="50"/>
      <c r="G19" s="95" t="s">
        <v>656</v>
      </c>
      <c r="H19" s="96"/>
      <c r="I19" s="49">
        <f>VORN!I26</f>
        <v>0</v>
      </c>
      <c r="J19" s="26"/>
    </row>
    <row r="20" spans="1:10" ht="15.15" customHeight="1">
      <c r="A20" s="93" t="s">
        <v>629</v>
      </c>
      <c r="B20" s="94"/>
      <c r="C20" s="49">
        <f>SUM('Stavební rozpočet'!AG12:AG400)</f>
        <v>0</v>
      </c>
      <c r="D20" s="95"/>
      <c r="E20" s="96"/>
      <c r="F20" s="50"/>
      <c r="G20" s="95"/>
      <c r="H20" s="96"/>
      <c r="I20" s="50"/>
      <c r="J20" s="26"/>
    </row>
    <row r="21" spans="1:10" ht="15.15" customHeight="1">
      <c r="A21" s="93" t="s">
        <v>630</v>
      </c>
      <c r="B21" s="94"/>
      <c r="C21" s="49">
        <f>SUM('Stavební rozpočet'!Y12:Y400)</f>
        <v>0</v>
      </c>
      <c r="D21" s="95"/>
      <c r="E21" s="96"/>
      <c r="F21" s="50"/>
      <c r="G21" s="95"/>
      <c r="H21" s="96"/>
      <c r="I21" s="50"/>
      <c r="J21" s="26"/>
    </row>
    <row r="22" spans="1:10" ht="16.65" customHeight="1">
      <c r="A22" s="93" t="s">
        <v>631</v>
      </c>
      <c r="B22" s="94"/>
      <c r="C22" s="49">
        <f>ROUND(SUM(C14:C21),0)</f>
        <v>0</v>
      </c>
      <c r="D22" s="93" t="s">
        <v>644</v>
      </c>
      <c r="E22" s="94"/>
      <c r="F22" s="49">
        <f>SUM(F14:F21)</f>
        <v>0</v>
      </c>
      <c r="G22" s="93" t="s">
        <v>657</v>
      </c>
      <c r="H22" s="94"/>
      <c r="I22" s="49">
        <f>SUM(I14:I21)</f>
        <v>0</v>
      </c>
      <c r="J22" s="26"/>
    </row>
    <row r="23" spans="1:10" ht="15.15" customHeight="1">
      <c r="A23" s="8"/>
      <c r="B23" s="8"/>
      <c r="C23" s="47"/>
      <c r="D23" s="93" t="s">
        <v>645</v>
      </c>
      <c r="E23" s="94"/>
      <c r="F23" s="51">
        <v>0</v>
      </c>
      <c r="G23" s="93" t="s">
        <v>658</v>
      </c>
      <c r="H23" s="94"/>
      <c r="I23" s="49">
        <v>0</v>
      </c>
      <c r="J23" s="26"/>
    </row>
    <row r="24" spans="4:10" ht="15.15" customHeight="1">
      <c r="D24" s="8"/>
      <c r="E24" s="8"/>
      <c r="F24" s="52"/>
      <c r="G24" s="93" t="s">
        <v>659</v>
      </c>
      <c r="H24" s="94"/>
      <c r="I24" s="49">
        <f>vorn_sum</f>
        <v>0</v>
      </c>
      <c r="J24" s="26"/>
    </row>
    <row r="25" spans="6:10" ht="15.15" customHeight="1">
      <c r="F25" s="53"/>
      <c r="G25" s="93" t="s">
        <v>660</v>
      </c>
      <c r="H25" s="94"/>
      <c r="I25" s="49">
        <v>0</v>
      </c>
      <c r="J25" s="26"/>
    </row>
    <row r="26" spans="1:9" ht="12.75">
      <c r="A26" s="7"/>
      <c r="B26" s="7"/>
      <c r="C26" s="7"/>
      <c r="G26" s="8"/>
      <c r="H26" s="8"/>
      <c r="I26" s="8"/>
    </row>
    <row r="27" spans="1:9" ht="15.15" customHeight="1">
      <c r="A27" s="88" t="s">
        <v>632</v>
      </c>
      <c r="B27" s="89"/>
      <c r="C27" s="54">
        <f>ROUND(SUM('Stavební rozpočet'!AI12:AI400),0)</f>
        <v>0</v>
      </c>
      <c r="D27" s="48"/>
      <c r="E27" s="7"/>
      <c r="F27" s="7"/>
      <c r="G27" s="7"/>
      <c r="H27" s="7"/>
      <c r="I27" s="7"/>
    </row>
    <row r="28" spans="1:10" ht="15.15" customHeight="1">
      <c r="A28" s="88" t="s">
        <v>633</v>
      </c>
      <c r="B28" s="89"/>
      <c r="C28" s="54">
        <f>ROUND(SUM('Stavební rozpočet'!AJ12:AJ400),0)</f>
        <v>0</v>
      </c>
      <c r="D28" s="88" t="s">
        <v>646</v>
      </c>
      <c r="E28" s="89"/>
      <c r="F28" s="54">
        <f>ROUND(C28*(15/100),2)</f>
        <v>0</v>
      </c>
      <c r="G28" s="88" t="s">
        <v>661</v>
      </c>
      <c r="H28" s="89"/>
      <c r="I28" s="54">
        <f>ROUND(SUM(C27:C29),0)</f>
        <v>0</v>
      </c>
      <c r="J28" s="26"/>
    </row>
    <row r="29" spans="1:10" ht="15.15" customHeight="1">
      <c r="A29" s="88" t="s">
        <v>634</v>
      </c>
      <c r="B29" s="89"/>
      <c r="C29" s="54">
        <f>ROUND(SUM('Stavební rozpočet'!AK12:AK400)+(F22+I22+F23+I23+I24+I25),0)</f>
        <v>0</v>
      </c>
      <c r="D29" s="88" t="s">
        <v>647</v>
      </c>
      <c r="E29" s="89"/>
      <c r="F29" s="54">
        <f>ROUND(C29*(21/100),2)</f>
        <v>0</v>
      </c>
      <c r="G29" s="88" t="s">
        <v>662</v>
      </c>
      <c r="H29" s="89"/>
      <c r="I29" s="54">
        <f>ROUND(SUM(F28:F29)+I28,0)</f>
        <v>0</v>
      </c>
      <c r="J29" s="26"/>
    </row>
    <row r="30" spans="1:9" ht="12.75">
      <c r="A30" s="43"/>
      <c r="B30" s="43"/>
      <c r="C30" s="43"/>
      <c r="D30" s="43"/>
      <c r="E30" s="43"/>
      <c r="F30" s="43"/>
      <c r="G30" s="43"/>
      <c r="H30" s="43"/>
      <c r="I30" s="43"/>
    </row>
    <row r="31" spans="1:10" ht="14.4" customHeight="1">
      <c r="A31" s="90" t="s">
        <v>635</v>
      </c>
      <c r="B31" s="91"/>
      <c r="C31" s="92"/>
      <c r="D31" s="90" t="s">
        <v>648</v>
      </c>
      <c r="E31" s="91"/>
      <c r="F31" s="92"/>
      <c r="G31" s="90" t="s">
        <v>663</v>
      </c>
      <c r="H31" s="91"/>
      <c r="I31" s="92"/>
      <c r="J31" s="27"/>
    </row>
    <row r="32" spans="1:10" ht="14.4" customHeight="1">
      <c r="A32" s="82"/>
      <c r="B32" s="83"/>
      <c r="C32" s="84"/>
      <c r="D32" s="82"/>
      <c r="E32" s="83"/>
      <c r="F32" s="84"/>
      <c r="G32" s="82"/>
      <c r="H32" s="83"/>
      <c r="I32" s="84"/>
      <c r="J32" s="27"/>
    </row>
    <row r="33" spans="1:10" ht="14.4" customHeight="1">
      <c r="A33" s="82"/>
      <c r="B33" s="83"/>
      <c r="C33" s="84"/>
      <c r="D33" s="82"/>
      <c r="E33" s="83"/>
      <c r="F33" s="84"/>
      <c r="G33" s="82"/>
      <c r="H33" s="83"/>
      <c r="I33" s="84"/>
      <c r="J33" s="27"/>
    </row>
    <row r="34" spans="1:10" ht="14.4" customHeight="1">
      <c r="A34" s="82"/>
      <c r="B34" s="83"/>
      <c r="C34" s="84"/>
      <c r="D34" s="82"/>
      <c r="E34" s="83"/>
      <c r="F34" s="84"/>
      <c r="G34" s="82"/>
      <c r="H34" s="83"/>
      <c r="I34" s="84"/>
      <c r="J34" s="27"/>
    </row>
    <row r="35" spans="1:10" ht="14.4" customHeight="1">
      <c r="A35" s="85" t="s">
        <v>636</v>
      </c>
      <c r="B35" s="86"/>
      <c r="C35" s="87"/>
      <c r="D35" s="85" t="s">
        <v>636</v>
      </c>
      <c r="E35" s="86"/>
      <c r="F35" s="87"/>
      <c r="G35" s="85" t="s">
        <v>636</v>
      </c>
      <c r="H35" s="86"/>
      <c r="I35" s="87"/>
      <c r="J35" s="27"/>
    </row>
    <row r="36" spans="1:9" ht="11.25" customHeight="1">
      <c r="A36" s="44" t="s">
        <v>101</v>
      </c>
      <c r="B36" s="46"/>
      <c r="C36" s="46"/>
      <c r="D36" s="46"/>
      <c r="E36" s="46"/>
      <c r="F36" s="46"/>
      <c r="G36" s="46"/>
      <c r="H36" s="46"/>
      <c r="I36" s="46"/>
    </row>
    <row r="37" spans="1:9" ht="12.75">
      <c r="A37" s="1"/>
      <c r="B37" s="81"/>
      <c r="C37" s="81"/>
      <c r="D37" s="81"/>
      <c r="E37" s="81"/>
      <c r="F37" s="81"/>
      <c r="G37" s="81"/>
      <c r="H37" s="81"/>
      <c r="I37" s="81"/>
    </row>
  </sheetData>
  <mergeCells count="83">
    <mergeCell ref="C1:I1"/>
    <mergeCell ref="A2:B3"/>
    <mergeCell ref="C2:D3"/>
    <mergeCell ref="E2:E3"/>
    <mergeCell ref="F2:G3"/>
    <mergeCell ref="H2:H3"/>
    <mergeCell ref="I2:I3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 horizontalCentered="1"/>
  <pageMargins left="0.3937007874015748" right="0.1968503937007874" top="0.5905511811023623" bottom="0.5905511811023623" header="0.11811023622047245" footer="0.11811023622047245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workbookViewId="0" topLeftCell="A1"/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7.140625" style="0" customWidth="1"/>
    <col min="9" max="9" width="22.8515625" style="0" customWidth="1"/>
  </cols>
  <sheetData>
    <row r="1" spans="1:9" ht="72.9" customHeight="1">
      <c r="A1" s="65"/>
      <c r="B1" s="7"/>
      <c r="C1" s="110" t="s">
        <v>676</v>
      </c>
      <c r="D1" s="111"/>
      <c r="E1" s="111"/>
      <c r="F1" s="111"/>
      <c r="G1" s="111"/>
      <c r="H1" s="111"/>
      <c r="I1" s="111"/>
    </row>
    <row r="2" spans="1:10" ht="12.75">
      <c r="A2" s="112" t="s">
        <v>1</v>
      </c>
      <c r="B2" s="113"/>
      <c r="C2" s="114" t="str">
        <f>'Stavební rozpočet'!C2</f>
        <v>Oprava rozvodů vody - zámek Vyškov</v>
      </c>
      <c r="D2" s="115"/>
      <c r="E2" s="117" t="s">
        <v>560</v>
      </c>
      <c r="F2" s="117" t="str">
        <f>'Stavební rozpočet'!I2</f>
        <v> </v>
      </c>
      <c r="G2" s="113"/>
      <c r="H2" s="117" t="s">
        <v>664</v>
      </c>
      <c r="I2" s="118"/>
      <c r="J2" s="26"/>
    </row>
    <row r="3" spans="1:10" ht="12.75">
      <c r="A3" s="107"/>
      <c r="B3" s="81"/>
      <c r="C3" s="116"/>
      <c r="D3" s="116"/>
      <c r="E3" s="81"/>
      <c r="F3" s="81"/>
      <c r="G3" s="81"/>
      <c r="H3" s="81"/>
      <c r="I3" s="109"/>
      <c r="J3" s="26"/>
    </row>
    <row r="4" spans="1:10" ht="12.75">
      <c r="A4" s="101" t="s">
        <v>2</v>
      </c>
      <c r="B4" s="81"/>
      <c r="C4" s="1" t="str">
        <f>'Stavební rozpočet'!C4</f>
        <v>b.Hygienické zařízení</v>
      </c>
      <c r="D4" s="81"/>
      <c r="E4" s="1" t="s">
        <v>561</v>
      </c>
      <c r="F4" s="1" t="str">
        <f>'Stavební rozpočet'!I4</f>
        <v> </v>
      </c>
      <c r="G4" s="81"/>
      <c r="H4" s="1" t="s">
        <v>664</v>
      </c>
      <c r="I4" s="108"/>
      <c r="J4" s="26"/>
    </row>
    <row r="5" spans="1:10" ht="12.75">
      <c r="A5" s="107"/>
      <c r="B5" s="81"/>
      <c r="C5" s="81"/>
      <c r="D5" s="81"/>
      <c r="E5" s="81"/>
      <c r="F5" s="81"/>
      <c r="G5" s="81"/>
      <c r="H5" s="81"/>
      <c r="I5" s="109"/>
      <c r="J5" s="26"/>
    </row>
    <row r="6" spans="1:10" ht="12.75">
      <c r="A6" s="101" t="s">
        <v>3</v>
      </c>
      <c r="B6" s="81"/>
      <c r="C6" s="1" t="str">
        <f>'Stavební rozpočet'!C6</f>
        <v>náměstí Čsl. armády 475/2, Vyškov - Město, 682 01</v>
      </c>
      <c r="D6" s="81"/>
      <c r="E6" s="1" t="s">
        <v>562</v>
      </c>
      <c r="F6" s="1" t="str">
        <f>'Stavební rozpočet'!I6</f>
        <v> </v>
      </c>
      <c r="G6" s="81"/>
      <c r="H6" s="1" t="s">
        <v>664</v>
      </c>
      <c r="I6" s="108"/>
      <c r="J6" s="26"/>
    </row>
    <row r="7" spans="1:10" ht="12.75">
      <c r="A7" s="107"/>
      <c r="B7" s="81"/>
      <c r="C7" s="81"/>
      <c r="D7" s="81"/>
      <c r="E7" s="81"/>
      <c r="F7" s="81"/>
      <c r="G7" s="81"/>
      <c r="H7" s="81"/>
      <c r="I7" s="109"/>
      <c r="J7" s="26"/>
    </row>
    <row r="8" spans="1:10" ht="12.75">
      <c r="A8" s="101" t="s">
        <v>546</v>
      </c>
      <c r="B8" s="81"/>
      <c r="C8" s="1" t="str">
        <f>'Stavební rozpočet'!F4</f>
        <v xml:space="preserve"> </v>
      </c>
      <c r="D8" s="81"/>
      <c r="E8" s="1" t="s">
        <v>547</v>
      </c>
      <c r="F8" s="1" t="str">
        <f>'Stavební rozpočet'!F6</f>
        <v xml:space="preserve"> </v>
      </c>
      <c r="G8" s="81"/>
      <c r="H8" s="104" t="s">
        <v>665</v>
      </c>
      <c r="I8" s="108" t="s">
        <v>100</v>
      </c>
      <c r="J8" s="26"/>
    </row>
    <row r="9" spans="1:10" ht="12.75">
      <c r="A9" s="107"/>
      <c r="B9" s="81"/>
      <c r="C9" s="81"/>
      <c r="D9" s="81"/>
      <c r="E9" s="81"/>
      <c r="F9" s="81"/>
      <c r="G9" s="81"/>
      <c r="H9" s="81"/>
      <c r="I9" s="109"/>
      <c r="J9" s="26"/>
    </row>
    <row r="10" spans="1:10" ht="12.75">
      <c r="A10" s="101" t="s">
        <v>4</v>
      </c>
      <c r="B10" s="81"/>
      <c r="C10" s="1" t="str">
        <f>'Stavební rozpočet'!C8</f>
        <v xml:space="preserve"> </v>
      </c>
      <c r="D10" s="81"/>
      <c r="E10" s="1" t="s">
        <v>563</v>
      </c>
      <c r="F10" s="1" t="str">
        <f>'Stavební rozpočet'!I8</f>
        <v> </v>
      </c>
      <c r="G10" s="81"/>
      <c r="H10" s="104" t="s">
        <v>666</v>
      </c>
      <c r="I10" s="105" t="str">
        <f>'Stavební rozpočet'!F8</f>
        <v>07.05.2019</v>
      </c>
      <c r="J10" s="26"/>
    </row>
    <row r="11" spans="1:10" ht="12.75">
      <c r="A11" s="102"/>
      <c r="B11" s="103"/>
      <c r="C11" s="103"/>
      <c r="D11" s="103"/>
      <c r="E11" s="103"/>
      <c r="F11" s="103"/>
      <c r="G11" s="103"/>
      <c r="H11" s="103"/>
      <c r="I11" s="106"/>
      <c r="J11" s="26"/>
    </row>
    <row r="12" spans="1:9" ht="12.75">
      <c r="A12" s="8"/>
      <c r="B12" s="8"/>
      <c r="C12" s="8"/>
      <c r="D12" s="8"/>
      <c r="E12" s="8"/>
      <c r="F12" s="8"/>
      <c r="G12" s="8"/>
      <c r="H12" s="8"/>
      <c r="I12" s="8"/>
    </row>
    <row r="13" spans="1:9" ht="15.15" customHeight="1">
      <c r="A13" s="131" t="s">
        <v>668</v>
      </c>
      <c r="B13" s="132"/>
      <c r="C13" s="132"/>
      <c r="D13" s="132"/>
      <c r="E13" s="132"/>
      <c r="F13" s="56"/>
      <c r="G13" s="56"/>
      <c r="H13" s="56"/>
      <c r="I13" s="56"/>
    </row>
    <row r="14" spans="1:10" ht="12.75">
      <c r="A14" s="133" t="s">
        <v>669</v>
      </c>
      <c r="B14" s="134"/>
      <c r="C14" s="134"/>
      <c r="D14" s="134"/>
      <c r="E14" s="135"/>
      <c r="F14" s="57" t="s">
        <v>677</v>
      </c>
      <c r="G14" s="57" t="s">
        <v>678</v>
      </c>
      <c r="H14" s="57" t="s">
        <v>679</v>
      </c>
      <c r="I14" s="57" t="s">
        <v>677</v>
      </c>
      <c r="J14" s="27"/>
    </row>
    <row r="15" spans="1:10" ht="12.75">
      <c r="A15" s="136" t="s">
        <v>641</v>
      </c>
      <c r="B15" s="137"/>
      <c r="C15" s="137"/>
      <c r="D15" s="137"/>
      <c r="E15" s="138"/>
      <c r="F15" s="58">
        <v>0</v>
      </c>
      <c r="G15" s="61"/>
      <c r="H15" s="61"/>
      <c r="I15" s="58">
        <f>F15</f>
        <v>0</v>
      </c>
      <c r="J15" s="26"/>
    </row>
    <row r="16" spans="1:10" ht="12.75">
      <c r="A16" s="136" t="s">
        <v>642</v>
      </c>
      <c r="B16" s="137"/>
      <c r="C16" s="137"/>
      <c r="D16" s="137"/>
      <c r="E16" s="138"/>
      <c r="F16" s="58">
        <v>0</v>
      </c>
      <c r="G16" s="61"/>
      <c r="H16" s="61"/>
      <c r="I16" s="58">
        <f>F16</f>
        <v>0</v>
      </c>
      <c r="J16" s="26"/>
    </row>
    <row r="17" spans="1:10" ht="12.75">
      <c r="A17" s="119" t="s">
        <v>643</v>
      </c>
      <c r="B17" s="120"/>
      <c r="C17" s="120"/>
      <c r="D17" s="120"/>
      <c r="E17" s="121"/>
      <c r="F17" s="59">
        <v>0</v>
      </c>
      <c r="G17" s="62"/>
      <c r="H17" s="62"/>
      <c r="I17" s="59">
        <f>F17</f>
        <v>0</v>
      </c>
      <c r="J17" s="26"/>
    </row>
    <row r="18" spans="1:10" ht="12.75">
      <c r="A18" s="122" t="s">
        <v>670</v>
      </c>
      <c r="B18" s="123"/>
      <c r="C18" s="123"/>
      <c r="D18" s="123"/>
      <c r="E18" s="124"/>
      <c r="F18" s="60"/>
      <c r="G18" s="63"/>
      <c r="H18" s="63"/>
      <c r="I18" s="64">
        <f>SUM(I15:I17)</f>
        <v>0</v>
      </c>
      <c r="J18" s="27"/>
    </row>
    <row r="19" spans="1:9" ht="12.75">
      <c r="A19" s="55"/>
      <c r="B19" s="55"/>
      <c r="C19" s="55"/>
      <c r="D19" s="55"/>
      <c r="E19" s="55"/>
      <c r="F19" s="55"/>
      <c r="G19" s="55"/>
      <c r="H19" s="55"/>
      <c r="I19" s="55"/>
    </row>
    <row r="20" spans="1:10" ht="12.75">
      <c r="A20" s="133" t="s">
        <v>667</v>
      </c>
      <c r="B20" s="134"/>
      <c r="C20" s="134"/>
      <c r="D20" s="134"/>
      <c r="E20" s="135"/>
      <c r="F20" s="57" t="s">
        <v>677</v>
      </c>
      <c r="G20" s="57" t="s">
        <v>678</v>
      </c>
      <c r="H20" s="57" t="s">
        <v>679</v>
      </c>
      <c r="I20" s="57" t="s">
        <v>677</v>
      </c>
      <c r="J20" s="27"/>
    </row>
    <row r="21" spans="1:10" ht="12.75">
      <c r="A21" s="136" t="s">
        <v>651</v>
      </c>
      <c r="B21" s="137"/>
      <c r="C21" s="137"/>
      <c r="D21" s="137"/>
      <c r="E21" s="138"/>
      <c r="F21" s="61"/>
      <c r="G21" s="58">
        <v>2</v>
      </c>
      <c r="H21" s="58">
        <f>'Krycí list rozpočtu'!C22</f>
        <v>0</v>
      </c>
      <c r="I21" s="58">
        <f>(G21/100)*H21</f>
        <v>0</v>
      </c>
      <c r="J21" s="26"/>
    </row>
    <row r="22" spans="1:10" ht="12.75">
      <c r="A22" s="136" t="s">
        <v>652</v>
      </c>
      <c r="B22" s="137"/>
      <c r="C22" s="137"/>
      <c r="D22" s="137"/>
      <c r="E22" s="138"/>
      <c r="F22" s="58">
        <v>0</v>
      </c>
      <c r="G22" s="61"/>
      <c r="H22" s="61"/>
      <c r="I22" s="58">
        <f>F22</f>
        <v>0</v>
      </c>
      <c r="J22" s="26"/>
    </row>
    <row r="23" spans="1:10" ht="12.75">
      <c r="A23" s="136" t="s">
        <v>653</v>
      </c>
      <c r="B23" s="137"/>
      <c r="C23" s="137"/>
      <c r="D23" s="137"/>
      <c r="E23" s="138"/>
      <c r="F23" s="58">
        <v>0</v>
      </c>
      <c r="G23" s="61"/>
      <c r="H23" s="61"/>
      <c r="I23" s="58">
        <f>F23</f>
        <v>0</v>
      </c>
      <c r="J23" s="26"/>
    </row>
    <row r="24" spans="1:10" ht="12.75">
      <c r="A24" s="136" t="s">
        <v>654</v>
      </c>
      <c r="B24" s="137"/>
      <c r="C24" s="137"/>
      <c r="D24" s="137"/>
      <c r="E24" s="138"/>
      <c r="F24" s="58">
        <v>0</v>
      </c>
      <c r="G24" s="61"/>
      <c r="H24" s="61"/>
      <c r="I24" s="58">
        <f>F24</f>
        <v>0</v>
      </c>
      <c r="J24" s="26"/>
    </row>
    <row r="25" spans="1:10" ht="12.75">
      <c r="A25" s="136" t="s">
        <v>655</v>
      </c>
      <c r="B25" s="137"/>
      <c r="C25" s="137"/>
      <c r="D25" s="137"/>
      <c r="E25" s="138"/>
      <c r="F25" s="58">
        <v>0</v>
      </c>
      <c r="G25" s="61"/>
      <c r="H25" s="61"/>
      <c r="I25" s="58">
        <f>F25</f>
        <v>0</v>
      </c>
      <c r="J25" s="26"/>
    </row>
    <row r="26" spans="1:10" ht="12.75">
      <c r="A26" s="119" t="s">
        <v>656</v>
      </c>
      <c r="B26" s="120"/>
      <c r="C26" s="120"/>
      <c r="D26" s="120"/>
      <c r="E26" s="121"/>
      <c r="F26" s="59">
        <v>0</v>
      </c>
      <c r="G26" s="62"/>
      <c r="H26" s="62"/>
      <c r="I26" s="59">
        <f>F26</f>
        <v>0</v>
      </c>
      <c r="J26" s="26"/>
    </row>
    <row r="27" spans="1:10" ht="12.75">
      <c r="A27" s="122" t="s">
        <v>671</v>
      </c>
      <c r="B27" s="123"/>
      <c r="C27" s="123"/>
      <c r="D27" s="123"/>
      <c r="E27" s="124"/>
      <c r="F27" s="60"/>
      <c r="G27" s="63"/>
      <c r="H27" s="63"/>
      <c r="I27" s="64">
        <f>SUM(I21:I26)</f>
        <v>0</v>
      </c>
      <c r="J27" s="27"/>
    </row>
    <row r="28" spans="1:9" ht="12.75">
      <c r="A28" s="55"/>
      <c r="B28" s="55"/>
      <c r="C28" s="55"/>
      <c r="D28" s="55"/>
      <c r="E28" s="55"/>
      <c r="F28" s="55"/>
      <c r="G28" s="55"/>
      <c r="H28" s="55"/>
      <c r="I28" s="55"/>
    </row>
    <row r="29" spans="1:10" ht="15.15" customHeight="1">
      <c r="A29" s="125" t="s">
        <v>672</v>
      </c>
      <c r="B29" s="126"/>
      <c r="C29" s="126"/>
      <c r="D29" s="126"/>
      <c r="E29" s="127"/>
      <c r="F29" s="128">
        <f>I18+I27</f>
        <v>0</v>
      </c>
      <c r="G29" s="129"/>
      <c r="H29" s="129"/>
      <c r="I29" s="130"/>
      <c r="J29" s="27"/>
    </row>
    <row r="30" spans="1:9" ht="12.75">
      <c r="A30" s="46"/>
      <c r="B30" s="46"/>
      <c r="C30" s="46"/>
      <c r="D30" s="46"/>
      <c r="E30" s="46"/>
      <c r="F30" s="46"/>
      <c r="G30" s="46"/>
      <c r="H30" s="46"/>
      <c r="I30" s="46"/>
    </row>
    <row r="33" spans="1:9" ht="15.15" customHeight="1">
      <c r="A33" s="131" t="s">
        <v>673</v>
      </c>
      <c r="B33" s="132"/>
      <c r="C33" s="132"/>
      <c r="D33" s="132"/>
      <c r="E33" s="132"/>
      <c r="F33" s="56"/>
      <c r="G33" s="56"/>
      <c r="H33" s="56"/>
      <c r="I33" s="56"/>
    </row>
    <row r="34" spans="1:10" ht="12.75">
      <c r="A34" s="133" t="s">
        <v>674</v>
      </c>
      <c r="B34" s="134"/>
      <c r="C34" s="134"/>
      <c r="D34" s="134"/>
      <c r="E34" s="135"/>
      <c r="F34" s="57" t="s">
        <v>677</v>
      </c>
      <c r="G34" s="57" t="s">
        <v>678</v>
      </c>
      <c r="H34" s="57" t="s">
        <v>679</v>
      </c>
      <c r="I34" s="57" t="s">
        <v>677</v>
      </c>
      <c r="J34" s="27"/>
    </row>
    <row r="35" spans="1:10" ht="12.75">
      <c r="A35" s="119"/>
      <c r="B35" s="120"/>
      <c r="C35" s="120"/>
      <c r="D35" s="120"/>
      <c r="E35" s="121"/>
      <c r="F35" s="59">
        <v>0</v>
      </c>
      <c r="G35" s="62"/>
      <c r="H35" s="62"/>
      <c r="I35" s="59">
        <f>F35</f>
        <v>0</v>
      </c>
      <c r="J35" s="26"/>
    </row>
    <row r="36" spans="1:10" ht="12.75">
      <c r="A36" s="122" t="s">
        <v>675</v>
      </c>
      <c r="B36" s="123"/>
      <c r="C36" s="123"/>
      <c r="D36" s="123"/>
      <c r="E36" s="124"/>
      <c r="F36" s="60"/>
      <c r="G36" s="63"/>
      <c r="H36" s="63"/>
      <c r="I36" s="64">
        <f>SUM(I35:I35)</f>
        <v>0</v>
      </c>
      <c r="J36" s="27"/>
    </row>
    <row r="37" spans="1:9" ht="12.75">
      <c r="A37" s="46"/>
      <c r="B37" s="46"/>
      <c r="C37" s="46"/>
      <c r="D37" s="46"/>
      <c r="E37" s="46"/>
      <c r="F37" s="46"/>
      <c r="G37" s="46"/>
      <c r="H37" s="46"/>
      <c r="I37" s="46"/>
    </row>
  </sheetData>
  <mergeCells count="51">
    <mergeCell ref="C1:I1"/>
    <mergeCell ref="A2:B3"/>
    <mergeCell ref="C2:D3"/>
    <mergeCell ref="E2:E3"/>
    <mergeCell ref="F2:G3"/>
    <mergeCell ref="H2:H3"/>
    <mergeCell ref="I2:I3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H10:H11"/>
    <mergeCell ref="I10:I11"/>
    <mergeCell ref="A8:B9"/>
    <mergeCell ref="C8:D9"/>
    <mergeCell ref="E8:E9"/>
    <mergeCell ref="F8:G9"/>
    <mergeCell ref="H8:H9"/>
    <mergeCell ref="I8:I9"/>
    <mergeCell ref="A18:E18"/>
    <mergeCell ref="A10:B11"/>
    <mergeCell ref="C10:D11"/>
    <mergeCell ref="E10:E11"/>
    <mergeCell ref="F10:G11"/>
    <mergeCell ref="A13:E13"/>
    <mergeCell ref="A14:E14"/>
    <mergeCell ref="A15:E15"/>
    <mergeCell ref="A16:E16"/>
    <mergeCell ref="A17:E17"/>
    <mergeCell ref="F29:I29"/>
    <mergeCell ref="A33:E33"/>
    <mergeCell ref="A34:E34"/>
    <mergeCell ref="A20:E20"/>
    <mergeCell ref="A21:E21"/>
    <mergeCell ref="A22:E22"/>
    <mergeCell ref="A23:E23"/>
    <mergeCell ref="A24:E24"/>
    <mergeCell ref="A25:E25"/>
    <mergeCell ref="A35:E35"/>
    <mergeCell ref="A36:E36"/>
    <mergeCell ref="A26:E26"/>
    <mergeCell ref="A27:E27"/>
    <mergeCell ref="A29:E29"/>
  </mergeCells>
  <printOptions horizontalCentered="1"/>
  <pageMargins left="0.3937007874015748" right="0" top="0.5905511811023623" bottom="0.5905511811023623" header="0.5118110236220472" footer="0.5118110236220472"/>
  <pageSetup fitToHeight="0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workbookViewId="0" topLeftCell="A1">
      <pane ySplit="10" topLeftCell="A11" activePane="bottomLeft" state="frozen"/>
      <selection pane="bottomLeft" activeCell="A1" sqref="A1:G1"/>
    </sheetView>
  </sheetViews>
  <sheetFormatPr defaultColWidth="11.57421875" defaultRowHeight="12.75"/>
  <cols>
    <col min="1" max="2" width="16.57421875" style="0" customWidth="1"/>
    <col min="3" max="3" width="41.7109375" style="0" customWidth="1"/>
    <col min="5" max="5" width="22.140625" style="0" customWidth="1"/>
    <col min="6" max="6" width="21.00390625" style="0" customWidth="1"/>
    <col min="7" max="7" width="20.8515625" style="0" customWidth="1"/>
    <col min="8" max="9" width="11.57421875" style="0" hidden="1" customWidth="1"/>
  </cols>
  <sheetData>
    <row r="1" spans="1:7" ht="72.9" customHeight="1">
      <c r="A1" s="146" t="s">
        <v>617</v>
      </c>
      <c r="B1" s="111"/>
      <c r="C1" s="111"/>
      <c r="D1" s="111"/>
      <c r="E1" s="111"/>
      <c r="F1" s="111"/>
      <c r="G1" s="111"/>
    </row>
    <row r="2" spans="1:8" ht="12.75">
      <c r="A2" s="112" t="s">
        <v>1</v>
      </c>
      <c r="B2" s="114" t="str">
        <f>'Stavební rozpočet'!C2</f>
        <v>Oprava rozvodů vody - zámek Vyškov</v>
      </c>
      <c r="C2" s="115"/>
      <c r="D2" s="117" t="s">
        <v>560</v>
      </c>
      <c r="E2" s="117" t="str">
        <f>'Stavební rozpočet'!I2</f>
        <v> </v>
      </c>
      <c r="F2" s="113"/>
      <c r="G2" s="147"/>
      <c r="H2" s="26"/>
    </row>
    <row r="3" spans="1:8" ht="12.75">
      <c r="A3" s="107"/>
      <c r="B3" s="116"/>
      <c r="C3" s="116"/>
      <c r="D3" s="81"/>
      <c r="E3" s="81"/>
      <c r="F3" s="81"/>
      <c r="G3" s="109"/>
      <c r="H3" s="26"/>
    </row>
    <row r="4" spans="1:8" ht="12.75">
      <c r="A4" s="101" t="s">
        <v>2</v>
      </c>
      <c r="B4" s="1" t="str">
        <f>'Stavební rozpočet'!C4</f>
        <v>b.Hygienické zařízení</v>
      </c>
      <c r="C4" s="81"/>
      <c r="D4" s="1" t="s">
        <v>561</v>
      </c>
      <c r="E4" s="1" t="str">
        <f>'Stavební rozpočet'!I4</f>
        <v> </v>
      </c>
      <c r="F4" s="81"/>
      <c r="G4" s="109"/>
      <c r="H4" s="26"/>
    </row>
    <row r="5" spans="1:8" ht="12.75">
      <c r="A5" s="107"/>
      <c r="B5" s="81"/>
      <c r="C5" s="81"/>
      <c r="D5" s="81"/>
      <c r="E5" s="81"/>
      <c r="F5" s="81"/>
      <c r="G5" s="109"/>
      <c r="H5" s="26"/>
    </row>
    <row r="6" spans="1:8" ht="12.75">
      <c r="A6" s="101" t="s">
        <v>3</v>
      </c>
      <c r="B6" s="1" t="str">
        <f>'Stavební rozpočet'!C6</f>
        <v>náměstí Čsl. armády 475/2, Vyškov - Město, 682 01</v>
      </c>
      <c r="C6" s="81"/>
      <c r="D6" s="1" t="s">
        <v>562</v>
      </c>
      <c r="E6" s="1" t="str">
        <f>'Stavební rozpočet'!I6</f>
        <v> </v>
      </c>
      <c r="F6" s="81"/>
      <c r="G6" s="109"/>
      <c r="H6" s="26"/>
    </row>
    <row r="7" spans="1:8" ht="12.75">
      <c r="A7" s="107"/>
      <c r="B7" s="81"/>
      <c r="C7" s="81"/>
      <c r="D7" s="81"/>
      <c r="E7" s="81"/>
      <c r="F7" s="81"/>
      <c r="G7" s="109"/>
      <c r="H7" s="26"/>
    </row>
    <row r="8" spans="1:8" ht="12.75">
      <c r="A8" s="101" t="s">
        <v>563</v>
      </c>
      <c r="B8" s="1" t="str">
        <f>'Stavební rozpočet'!I8</f>
        <v> </v>
      </c>
      <c r="C8" s="81"/>
      <c r="D8" s="104" t="s">
        <v>548</v>
      </c>
      <c r="E8" s="1" t="str">
        <f>'Stavební rozpočet'!F8</f>
        <v>07.05.2019</v>
      </c>
      <c r="F8" s="81"/>
      <c r="G8" s="109"/>
      <c r="H8" s="26"/>
    </row>
    <row r="9" spans="1:8" ht="12.75">
      <c r="A9" s="143"/>
      <c r="B9" s="144"/>
      <c r="C9" s="144"/>
      <c r="D9" s="144"/>
      <c r="E9" s="144"/>
      <c r="F9" s="144"/>
      <c r="G9" s="145"/>
      <c r="H9" s="26"/>
    </row>
    <row r="10" spans="1:8" ht="12.75">
      <c r="A10" s="33" t="s">
        <v>618</v>
      </c>
      <c r="B10" s="35" t="s">
        <v>102</v>
      </c>
      <c r="C10" s="139" t="s">
        <v>619</v>
      </c>
      <c r="D10" s="140"/>
      <c r="E10" s="36" t="s">
        <v>620</v>
      </c>
      <c r="F10" s="36" t="s">
        <v>621</v>
      </c>
      <c r="G10" s="36" t="s">
        <v>622</v>
      </c>
      <c r="H10" s="26"/>
    </row>
    <row r="11" spans="1:9" ht="12.75">
      <c r="A11" s="34"/>
      <c r="B11" s="34" t="s">
        <v>40</v>
      </c>
      <c r="C11" s="141" t="s">
        <v>216</v>
      </c>
      <c r="D11" s="142"/>
      <c r="E11" s="38">
        <f>'Stavební rozpočet'!I12</f>
        <v>0</v>
      </c>
      <c r="F11" s="38">
        <f>'Stavební rozpočet'!J12</f>
        <v>0</v>
      </c>
      <c r="G11" s="38">
        <f>'Stavební rozpočet'!K12</f>
        <v>0</v>
      </c>
      <c r="H11" s="28" t="s">
        <v>623</v>
      </c>
      <c r="I11" s="28">
        <f aca="true" t="shared" si="0" ref="I11:I32">IF(H11="F",0,G11)</f>
        <v>0</v>
      </c>
    </row>
    <row r="12" spans="1:9" ht="12.75">
      <c r="A12" s="14"/>
      <c r="B12" s="14" t="s">
        <v>66</v>
      </c>
      <c r="C12" s="104" t="s">
        <v>219</v>
      </c>
      <c r="D12" s="81"/>
      <c r="E12" s="28">
        <f>'Stavební rozpočet'!I15</f>
        <v>0</v>
      </c>
      <c r="F12" s="28">
        <f>'Stavební rozpočet'!J15</f>
        <v>0</v>
      </c>
      <c r="G12" s="28">
        <f>'Stavební rozpočet'!K15</f>
        <v>0</v>
      </c>
      <c r="H12" s="28" t="s">
        <v>623</v>
      </c>
      <c r="I12" s="28">
        <f t="shared" si="0"/>
        <v>0</v>
      </c>
    </row>
    <row r="13" spans="1:9" ht="12.75">
      <c r="A13" s="14"/>
      <c r="B13" s="14" t="s">
        <v>67</v>
      </c>
      <c r="C13" s="104" t="s">
        <v>236</v>
      </c>
      <c r="D13" s="81"/>
      <c r="E13" s="28">
        <f>'Stavební rozpočet'!I32</f>
        <v>0</v>
      </c>
      <c r="F13" s="28">
        <f>'Stavební rozpočet'!J32</f>
        <v>0</v>
      </c>
      <c r="G13" s="28">
        <f>'Stavební rozpočet'!K32</f>
        <v>0</v>
      </c>
      <c r="H13" s="28" t="s">
        <v>623</v>
      </c>
      <c r="I13" s="28">
        <f t="shared" si="0"/>
        <v>0</v>
      </c>
    </row>
    <row r="14" spans="1:9" ht="12.75">
      <c r="A14" s="14"/>
      <c r="B14" s="14" t="s">
        <v>69</v>
      </c>
      <c r="C14" s="104" t="s">
        <v>289</v>
      </c>
      <c r="D14" s="81"/>
      <c r="E14" s="28">
        <f>'Stavební rozpočet'!I91</f>
        <v>0</v>
      </c>
      <c r="F14" s="28">
        <f>'Stavební rozpočet'!J91</f>
        <v>0</v>
      </c>
      <c r="G14" s="28">
        <f>'Stavební rozpočet'!K91</f>
        <v>0</v>
      </c>
      <c r="H14" s="28" t="s">
        <v>623</v>
      </c>
      <c r="I14" s="28">
        <f t="shared" si="0"/>
        <v>0</v>
      </c>
    </row>
    <row r="15" spans="1:9" ht="12.75">
      <c r="A15" s="14"/>
      <c r="B15" s="14" t="s">
        <v>70</v>
      </c>
      <c r="C15" s="104" t="s">
        <v>300</v>
      </c>
      <c r="D15" s="81"/>
      <c r="E15" s="28">
        <f>'Stavební rozpočet'!I105</f>
        <v>0</v>
      </c>
      <c r="F15" s="28">
        <f>'Stavební rozpočet'!J105</f>
        <v>0</v>
      </c>
      <c r="G15" s="28">
        <f>'Stavební rozpočet'!K105</f>
        <v>0</v>
      </c>
      <c r="H15" s="28" t="s">
        <v>623</v>
      </c>
      <c r="I15" s="28">
        <f t="shared" si="0"/>
        <v>0</v>
      </c>
    </row>
    <row r="16" spans="1:9" ht="12.75">
      <c r="A16" s="14"/>
      <c r="B16" s="14" t="s">
        <v>96</v>
      </c>
      <c r="C16" s="104" t="s">
        <v>305</v>
      </c>
      <c r="D16" s="81"/>
      <c r="E16" s="28">
        <f>'Stavební rozpočet'!I110</f>
        <v>0</v>
      </c>
      <c r="F16" s="28">
        <f>'Stavební rozpočet'!J110</f>
        <v>0</v>
      </c>
      <c r="G16" s="28">
        <f>'Stavební rozpočet'!K110</f>
        <v>0</v>
      </c>
      <c r="H16" s="28" t="s">
        <v>623</v>
      </c>
      <c r="I16" s="28">
        <f t="shared" si="0"/>
        <v>0</v>
      </c>
    </row>
    <row r="17" spans="1:9" ht="12.75">
      <c r="A17" s="14"/>
      <c r="B17" s="14" t="s">
        <v>100</v>
      </c>
      <c r="C17" s="104" t="s">
        <v>311</v>
      </c>
      <c r="D17" s="81"/>
      <c r="E17" s="28">
        <f>'Stavební rozpočet'!I116</f>
        <v>0</v>
      </c>
      <c r="F17" s="28">
        <f>'Stavební rozpočet'!J116</f>
        <v>0</v>
      </c>
      <c r="G17" s="28">
        <f>'Stavební rozpočet'!K116</f>
        <v>0</v>
      </c>
      <c r="H17" s="28" t="s">
        <v>623</v>
      </c>
      <c r="I17" s="28">
        <f t="shared" si="0"/>
        <v>0</v>
      </c>
    </row>
    <row r="18" spans="1:9" ht="12.75">
      <c r="A18" s="14"/>
      <c r="B18" s="14" t="s">
        <v>122</v>
      </c>
      <c r="C18" s="104" t="s">
        <v>314</v>
      </c>
      <c r="D18" s="81"/>
      <c r="E18" s="28">
        <f>'Stavební rozpočet'!I119</f>
        <v>0</v>
      </c>
      <c r="F18" s="28">
        <f>'Stavební rozpočet'!J119</f>
        <v>0</v>
      </c>
      <c r="G18" s="28">
        <f>'Stavební rozpočet'!K119</f>
        <v>0</v>
      </c>
      <c r="H18" s="28" t="s">
        <v>623</v>
      </c>
      <c r="I18" s="28">
        <f t="shared" si="0"/>
        <v>0</v>
      </c>
    </row>
    <row r="19" spans="1:9" ht="12.75">
      <c r="A19" s="14"/>
      <c r="B19" s="14" t="s">
        <v>134</v>
      </c>
      <c r="C19" s="104" t="s">
        <v>344</v>
      </c>
      <c r="D19" s="81"/>
      <c r="E19" s="28">
        <f>'Stavební rozpočet'!I152</f>
        <v>0</v>
      </c>
      <c r="F19" s="28">
        <f>'Stavební rozpočet'!J152</f>
        <v>0</v>
      </c>
      <c r="G19" s="28">
        <f>'Stavební rozpočet'!K152</f>
        <v>0</v>
      </c>
      <c r="H19" s="28" t="s">
        <v>623</v>
      </c>
      <c r="I19" s="28">
        <f t="shared" si="0"/>
        <v>0</v>
      </c>
    </row>
    <row r="20" spans="1:9" ht="12.75">
      <c r="A20" s="14"/>
      <c r="B20" s="14" t="s">
        <v>143</v>
      </c>
      <c r="C20" s="104" t="s">
        <v>383</v>
      </c>
      <c r="D20" s="81"/>
      <c r="E20" s="28">
        <f>'Stavební rozpočet'!I192</f>
        <v>0</v>
      </c>
      <c r="F20" s="28">
        <f>'Stavební rozpočet'!J192</f>
        <v>0</v>
      </c>
      <c r="G20" s="28">
        <f>'Stavební rozpočet'!K192</f>
        <v>0</v>
      </c>
      <c r="H20" s="28" t="s">
        <v>623</v>
      </c>
      <c r="I20" s="28">
        <f t="shared" si="0"/>
        <v>0</v>
      </c>
    </row>
    <row r="21" spans="1:9" ht="12.75">
      <c r="A21" s="14"/>
      <c r="B21" s="14" t="s">
        <v>152</v>
      </c>
      <c r="C21" s="104" t="s">
        <v>418</v>
      </c>
      <c r="D21" s="81"/>
      <c r="E21" s="28">
        <f>'Stavební rozpočet'!I242</f>
        <v>0</v>
      </c>
      <c r="F21" s="28">
        <f>'Stavební rozpočet'!J242</f>
        <v>0</v>
      </c>
      <c r="G21" s="28">
        <f>'Stavební rozpočet'!K242</f>
        <v>0</v>
      </c>
      <c r="H21" s="28" t="s">
        <v>623</v>
      </c>
      <c r="I21" s="28">
        <f t="shared" si="0"/>
        <v>0</v>
      </c>
    </row>
    <row r="22" spans="1:9" ht="12.75">
      <c r="A22" s="14"/>
      <c r="B22" s="14" t="s">
        <v>154</v>
      </c>
      <c r="C22" s="104" t="s">
        <v>420</v>
      </c>
      <c r="D22" s="81"/>
      <c r="E22" s="28">
        <f>'Stavební rozpočet'!I244</f>
        <v>0</v>
      </c>
      <c r="F22" s="28">
        <f>'Stavební rozpočet'!J244</f>
        <v>0</v>
      </c>
      <c r="G22" s="28">
        <f>'Stavební rozpočet'!K244</f>
        <v>0</v>
      </c>
      <c r="H22" s="28" t="s">
        <v>623</v>
      </c>
      <c r="I22" s="28">
        <f t="shared" si="0"/>
        <v>0</v>
      </c>
    </row>
    <row r="23" spans="1:9" ht="12.75">
      <c r="A23" s="14"/>
      <c r="B23" s="14" t="s">
        <v>163</v>
      </c>
      <c r="C23" s="104" t="s">
        <v>431</v>
      </c>
      <c r="D23" s="81"/>
      <c r="E23" s="28">
        <f>'Stavební rozpočet'!I255</f>
        <v>0</v>
      </c>
      <c r="F23" s="28">
        <f>'Stavební rozpočet'!J255</f>
        <v>0</v>
      </c>
      <c r="G23" s="28">
        <f>'Stavební rozpočet'!K255</f>
        <v>0</v>
      </c>
      <c r="H23" s="28" t="s">
        <v>623</v>
      </c>
      <c r="I23" s="28">
        <f t="shared" si="0"/>
        <v>0</v>
      </c>
    </row>
    <row r="24" spans="1:9" ht="12.75">
      <c r="A24" s="14"/>
      <c r="B24" s="14" t="s">
        <v>169</v>
      </c>
      <c r="C24" s="104" t="s">
        <v>443</v>
      </c>
      <c r="D24" s="81"/>
      <c r="E24" s="28">
        <f>'Stavební rozpočet'!I271</f>
        <v>0</v>
      </c>
      <c r="F24" s="28">
        <f>'Stavební rozpočet'!J271</f>
        <v>0</v>
      </c>
      <c r="G24" s="28">
        <f>'Stavební rozpočet'!K271</f>
        <v>0</v>
      </c>
      <c r="H24" s="28" t="s">
        <v>623</v>
      </c>
      <c r="I24" s="28">
        <f t="shared" si="0"/>
        <v>0</v>
      </c>
    </row>
    <row r="25" spans="1:9" ht="12.75">
      <c r="A25" s="14"/>
      <c r="B25" s="14" t="s">
        <v>171</v>
      </c>
      <c r="C25" s="104" t="s">
        <v>445</v>
      </c>
      <c r="D25" s="81"/>
      <c r="E25" s="28">
        <f>'Stavební rozpočet'!I274</f>
        <v>0</v>
      </c>
      <c r="F25" s="28">
        <f>'Stavební rozpočet'!J274</f>
        <v>0</v>
      </c>
      <c r="G25" s="28">
        <f>'Stavební rozpočet'!K274</f>
        <v>0</v>
      </c>
      <c r="H25" s="28" t="s">
        <v>623</v>
      </c>
      <c r="I25" s="28">
        <f t="shared" si="0"/>
        <v>0</v>
      </c>
    </row>
    <row r="26" spans="1:9" ht="12.75">
      <c r="A26" s="14"/>
      <c r="B26" s="14" t="s">
        <v>178</v>
      </c>
      <c r="C26" s="104" t="s">
        <v>455</v>
      </c>
      <c r="D26" s="81"/>
      <c r="E26" s="28">
        <f>'Stavební rozpočet'!I288</f>
        <v>0</v>
      </c>
      <c r="F26" s="28">
        <f>'Stavební rozpočet'!J288</f>
        <v>0</v>
      </c>
      <c r="G26" s="28">
        <f>'Stavební rozpočet'!K288</f>
        <v>0</v>
      </c>
      <c r="H26" s="28" t="s">
        <v>623</v>
      </c>
      <c r="I26" s="28">
        <f t="shared" si="0"/>
        <v>0</v>
      </c>
    </row>
    <row r="27" spans="1:9" ht="12.75">
      <c r="A27" s="14"/>
      <c r="B27" s="14" t="s">
        <v>181</v>
      </c>
      <c r="C27" s="104" t="s">
        <v>459</v>
      </c>
      <c r="D27" s="81"/>
      <c r="E27" s="28">
        <f>'Stavební rozpočet'!I293</f>
        <v>0</v>
      </c>
      <c r="F27" s="28">
        <f>'Stavební rozpočet'!J293</f>
        <v>0</v>
      </c>
      <c r="G27" s="28">
        <f>'Stavební rozpočet'!K293</f>
        <v>0</v>
      </c>
      <c r="H27" s="28" t="s">
        <v>623</v>
      </c>
      <c r="I27" s="28">
        <f t="shared" si="0"/>
        <v>0</v>
      </c>
    </row>
    <row r="28" spans="1:9" ht="12.75">
      <c r="A28" s="14"/>
      <c r="B28" s="14" t="s">
        <v>191</v>
      </c>
      <c r="C28" s="104" t="s">
        <v>484</v>
      </c>
      <c r="D28" s="81"/>
      <c r="E28" s="28">
        <f>'Stavební rozpočet'!I327</f>
        <v>0</v>
      </c>
      <c r="F28" s="28">
        <f>'Stavební rozpočet'!J327</f>
        <v>0</v>
      </c>
      <c r="G28" s="28">
        <f>'Stavební rozpočet'!K327</f>
        <v>0</v>
      </c>
      <c r="H28" s="28" t="s">
        <v>623</v>
      </c>
      <c r="I28" s="28">
        <f t="shared" si="0"/>
        <v>0</v>
      </c>
    </row>
    <row r="29" spans="1:9" ht="12.75">
      <c r="A29" s="14"/>
      <c r="B29" s="14" t="s">
        <v>194</v>
      </c>
      <c r="C29" s="104" t="s">
        <v>488</v>
      </c>
      <c r="D29" s="81"/>
      <c r="E29" s="28">
        <f>'Stavební rozpočet'!I332</f>
        <v>0</v>
      </c>
      <c r="F29" s="28">
        <f>'Stavební rozpočet'!J332</f>
        <v>0</v>
      </c>
      <c r="G29" s="28">
        <f>'Stavební rozpočet'!K332</f>
        <v>0</v>
      </c>
      <c r="H29" s="28" t="s">
        <v>623</v>
      </c>
      <c r="I29" s="28">
        <f t="shared" si="0"/>
        <v>0</v>
      </c>
    </row>
    <row r="30" spans="1:9" ht="12.75">
      <c r="A30" s="14"/>
      <c r="B30" s="14" t="s">
        <v>201</v>
      </c>
      <c r="C30" s="104" t="s">
        <v>519</v>
      </c>
      <c r="D30" s="81"/>
      <c r="E30" s="28">
        <f>'Stavební rozpočet'!I373</f>
        <v>0</v>
      </c>
      <c r="F30" s="28">
        <f>'Stavební rozpočet'!J373</f>
        <v>0</v>
      </c>
      <c r="G30" s="28">
        <f>'Stavební rozpočet'!K373</f>
        <v>0</v>
      </c>
      <c r="H30" s="28" t="s">
        <v>623</v>
      </c>
      <c r="I30" s="28">
        <f t="shared" si="0"/>
        <v>0</v>
      </c>
    </row>
    <row r="31" spans="1:9" ht="12.75">
      <c r="A31" s="14"/>
      <c r="B31" s="14" t="s">
        <v>205</v>
      </c>
      <c r="C31" s="104" t="s">
        <v>526</v>
      </c>
      <c r="D31" s="81"/>
      <c r="E31" s="28">
        <f>'Stavební rozpočet'!I381</f>
        <v>0</v>
      </c>
      <c r="F31" s="28">
        <f>'Stavební rozpočet'!J381</f>
        <v>0</v>
      </c>
      <c r="G31" s="28">
        <f>'Stavební rozpočet'!K381</f>
        <v>0</v>
      </c>
      <c r="H31" s="28" t="s">
        <v>623</v>
      </c>
      <c r="I31" s="28">
        <f t="shared" si="0"/>
        <v>0</v>
      </c>
    </row>
    <row r="32" spans="1:9" ht="12.75">
      <c r="A32" s="14"/>
      <c r="B32" s="14" t="s">
        <v>209</v>
      </c>
      <c r="C32" s="104" t="s">
        <v>543</v>
      </c>
      <c r="D32" s="81"/>
      <c r="E32" s="28">
        <f>'Stavební rozpočet'!I398</f>
        <v>0</v>
      </c>
      <c r="F32" s="28">
        <f>'Stavební rozpočet'!J398</f>
        <v>0</v>
      </c>
      <c r="G32" s="28">
        <f>'Stavební rozpočet'!K398</f>
        <v>0</v>
      </c>
      <c r="H32" s="28" t="s">
        <v>623</v>
      </c>
      <c r="I32" s="28">
        <f t="shared" si="0"/>
        <v>0</v>
      </c>
    </row>
    <row r="34" spans="6:7" ht="12.75">
      <c r="F34" s="37" t="s">
        <v>569</v>
      </c>
      <c r="G34" s="39">
        <f>ROUND(SUM(I11:I32),0)</f>
        <v>0</v>
      </c>
    </row>
  </sheetData>
  <mergeCells count="40">
    <mergeCell ref="A4:A5"/>
    <mergeCell ref="B4:C5"/>
    <mergeCell ref="D4:D5"/>
    <mergeCell ref="E4:G5"/>
    <mergeCell ref="A1:G1"/>
    <mergeCell ref="A2:A3"/>
    <mergeCell ref="B2:C3"/>
    <mergeCell ref="D2:D3"/>
    <mergeCell ref="E2:G3"/>
    <mergeCell ref="C15:D15"/>
    <mergeCell ref="A6:A7"/>
    <mergeCell ref="B6:C7"/>
    <mergeCell ref="D6:D7"/>
    <mergeCell ref="E6:G7"/>
    <mergeCell ref="A8:A9"/>
    <mergeCell ref="B8:C9"/>
    <mergeCell ref="D8:D9"/>
    <mergeCell ref="E8:G9"/>
    <mergeCell ref="C10:D10"/>
    <mergeCell ref="C11:D11"/>
    <mergeCell ref="C12:D12"/>
    <mergeCell ref="C13:D13"/>
    <mergeCell ref="C14:D14"/>
    <mergeCell ref="C27:D27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8:D28"/>
    <mergeCell ref="C29:D29"/>
    <mergeCell ref="C30:D30"/>
    <mergeCell ref="C31:D31"/>
    <mergeCell ref="C32:D32"/>
  </mergeCells>
  <printOptions/>
  <pageMargins left="0.394" right="0.394" top="0.591" bottom="0.591" header="0.5" footer="0.5"/>
  <pageSetup fitToHeight="0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403"/>
  <sheetViews>
    <sheetView workbookViewId="0" topLeftCell="A1">
      <pane ySplit="11" topLeftCell="A12" activePane="bottomLeft" state="frozen"/>
      <selection pane="bottomLeft" activeCell="N380" sqref="N380"/>
    </sheetView>
  </sheetViews>
  <sheetFormatPr defaultColWidth="11.57421875" defaultRowHeight="12.75"/>
  <cols>
    <col min="1" max="1" width="3.7109375" style="0" customWidth="1"/>
    <col min="2" max="2" width="14.28125" style="0" customWidth="1"/>
    <col min="3" max="3" width="67.8515625" style="0" customWidth="1"/>
    <col min="6" max="6" width="4.28125" style="0" customWidth="1"/>
    <col min="7" max="7" width="12.8515625" style="0" customWidth="1"/>
    <col min="8" max="8" width="12.00390625" style="0" customWidth="1"/>
    <col min="9" max="11" width="14.28125" style="0" customWidth="1"/>
    <col min="24" max="61" width="12.140625" style="0" hidden="1" customWidth="1"/>
  </cols>
  <sheetData>
    <row r="1" spans="1:11" ht="72.9" customHeight="1">
      <c r="A1" s="146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2" ht="12.75">
      <c r="A2" s="112" t="s">
        <v>1</v>
      </c>
      <c r="B2" s="113"/>
      <c r="C2" s="114" t="s">
        <v>211</v>
      </c>
      <c r="D2" s="180" t="s">
        <v>545</v>
      </c>
      <c r="E2" s="113"/>
      <c r="F2" s="180" t="s">
        <v>6</v>
      </c>
      <c r="G2" s="113"/>
      <c r="H2" s="117" t="s">
        <v>560</v>
      </c>
      <c r="I2" s="180" t="s">
        <v>566</v>
      </c>
      <c r="J2" s="113"/>
      <c r="K2" s="113"/>
      <c r="L2" s="26"/>
    </row>
    <row r="3" spans="1:12" ht="12.75">
      <c r="A3" s="107"/>
      <c r="B3" s="81"/>
      <c r="C3" s="116"/>
      <c r="D3" s="81"/>
      <c r="E3" s="81"/>
      <c r="F3" s="81"/>
      <c r="G3" s="81"/>
      <c r="H3" s="81"/>
      <c r="I3" s="81"/>
      <c r="J3" s="81"/>
      <c r="K3" s="81"/>
      <c r="L3" s="26"/>
    </row>
    <row r="4" spans="1:12" ht="12.75">
      <c r="A4" s="101" t="s">
        <v>2</v>
      </c>
      <c r="B4" s="81"/>
      <c r="C4" s="1" t="s">
        <v>212</v>
      </c>
      <c r="D4" s="104" t="s">
        <v>546</v>
      </c>
      <c r="E4" s="81"/>
      <c r="F4" s="104" t="s">
        <v>6</v>
      </c>
      <c r="G4" s="81"/>
      <c r="H4" s="1" t="s">
        <v>561</v>
      </c>
      <c r="I4" s="104" t="s">
        <v>566</v>
      </c>
      <c r="J4" s="81"/>
      <c r="K4" s="81"/>
      <c r="L4" s="26"/>
    </row>
    <row r="5" spans="1:12" ht="12.75">
      <c r="A5" s="107"/>
      <c r="B5" s="81"/>
      <c r="C5" s="81"/>
      <c r="D5" s="81"/>
      <c r="E5" s="81"/>
      <c r="F5" s="81"/>
      <c r="G5" s="81"/>
      <c r="H5" s="81"/>
      <c r="I5" s="81"/>
      <c r="J5" s="81"/>
      <c r="K5" s="81"/>
      <c r="L5" s="26"/>
    </row>
    <row r="6" spans="1:12" ht="12.75">
      <c r="A6" s="101" t="s">
        <v>3</v>
      </c>
      <c r="B6" s="81"/>
      <c r="C6" s="1" t="s">
        <v>213</v>
      </c>
      <c r="D6" s="104" t="s">
        <v>547</v>
      </c>
      <c r="E6" s="81"/>
      <c r="F6" s="104" t="s">
        <v>6</v>
      </c>
      <c r="G6" s="81"/>
      <c r="H6" s="1" t="s">
        <v>562</v>
      </c>
      <c r="I6" s="104" t="s">
        <v>566</v>
      </c>
      <c r="J6" s="81"/>
      <c r="K6" s="81"/>
      <c r="L6" s="26"/>
    </row>
    <row r="7" spans="1:12" ht="12.75">
      <c r="A7" s="107"/>
      <c r="B7" s="81"/>
      <c r="C7" s="81"/>
      <c r="D7" s="81"/>
      <c r="E7" s="81"/>
      <c r="F7" s="81"/>
      <c r="G7" s="81"/>
      <c r="H7" s="81"/>
      <c r="I7" s="81"/>
      <c r="J7" s="81"/>
      <c r="K7" s="81"/>
      <c r="L7" s="26"/>
    </row>
    <row r="8" spans="1:12" ht="12.75">
      <c r="A8" s="101" t="s">
        <v>4</v>
      </c>
      <c r="B8" s="81"/>
      <c r="C8" s="1" t="s">
        <v>6</v>
      </c>
      <c r="D8" s="104" t="s">
        <v>548</v>
      </c>
      <c r="E8" s="81"/>
      <c r="F8" s="104" t="s">
        <v>549</v>
      </c>
      <c r="G8" s="81"/>
      <c r="H8" s="1" t="s">
        <v>563</v>
      </c>
      <c r="I8" s="104" t="s">
        <v>566</v>
      </c>
      <c r="J8" s="81"/>
      <c r="K8" s="81"/>
      <c r="L8" s="26"/>
    </row>
    <row r="9" spans="1:12" ht="12.75">
      <c r="A9" s="143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26"/>
    </row>
    <row r="10" spans="1:12" ht="12.75">
      <c r="A10" s="1" t="s">
        <v>5</v>
      </c>
      <c r="B10" s="10" t="s">
        <v>102</v>
      </c>
      <c r="C10" s="169" t="s">
        <v>214</v>
      </c>
      <c r="D10" s="170"/>
      <c r="E10" s="171"/>
      <c r="F10" s="10" t="s">
        <v>550</v>
      </c>
      <c r="G10" s="15" t="s">
        <v>559</v>
      </c>
      <c r="H10" s="18" t="s">
        <v>564</v>
      </c>
      <c r="I10" s="172" t="s">
        <v>567</v>
      </c>
      <c r="J10" s="173"/>
      <c r="K10" s="174"/>
      <c r="L10" s="27"/>
    </row>
    <row r="11" spans="1:61" ht="12.75">
      <c r="A11" s="2" t="s">
        <v>6</v>
      </c>
      <c r="B11" s="11" t="s">
        <v>6</v>
      </c>
      <c r="C11" s="175" t="s">
        <v>215</v>
      </c>
      <c r="D11" s="176"/>
      <c r="E11" s="177"/>
      <c r="F11" s="11" t="s">
        <v>6</v>
      </c>
      <c r="G11" s="11" t="s">
        <v>6</v>
      </c>
      <c r="H11" s="19" t="s">
        <v>565</v>
      </c>
      <c r="I11" s="20" t="s">
        <v>568</v>
      </c>
      <c r="J11" s="21" t="s">
        <v>570</v>
      </c>
      <c r="K11" s="22" t="s">
        <v>571</v>
      </c>
      <c r="L11" s="27"/>
      <c r="Y11" s="24" t="s">
        <v>572</v>
      </c>
      <c r="Z11" s="24" t="s">
        <v>573</v>
      </c>
      <c r="AA11" s="24" t="s">
        <v>574</v>
      </c>
      <c r="AB11" s="24" t="s">
        <v>575</v>
      </c>
      <c r="AC11" s="24" t="s">
        <v>576</v>
      </c>
      <c r="AD11" s="24" t="s">
        <v>577</v>
      </c>
      <c r="AE11" s="24" t="s">
        <v>578</v>
      </c>
      <c r="AF11" s="24" t="s">
        <v>579</v>
      </c>
      <c r="AG11" s="24" t="s">
        <v>580</v>
      </c>
      <c r="BG11" s="24" t="s">
        <v>614</v>
      </c>
      <c r="BH11" s="24" t="s">
        <v>615</v>
      </c>
      <c r="BI11" s="24" t="s">
        <v>616</v>
      </c>
    </row>
    <row r="12" spans="1:46" ht="12.75">
      <c r="A12" s="3"/>
      <c r="B12" s="12" t="s">
        <v>40</v>
      </c>
      <c r="C12" s="178" t="s">
        <v>216</v>
      </c>
      <c r="D12" s="179"/>
      <c r="E12" s="179"/>
      <c r="F12" s="3" t="s">
        <v>6</v>
      </c>
      <c r="G12" s="3" t="s">
        <v>6</v>
      </c>
      <c r="H12" s="3" t="s">
        <v>6</v>
      </c>
      <c r="I12" s="30">
        <f>SUM(I13:I13)</f>
        <v>0</v>
      </c>
      <c r="J12" s="30">
        <f>SUM(J13:J13)</f>
        <v>0</v>
      </c>
      <c r="K12" s="30">
        <f>SUM(K13:K13)</f>
        <v>0</v>
      </c>
      <c r="AH12" s="24"/>
      <c r="AR12" s="31">
        <f>SUM(AI13:AI13)</f>
        <v>0</v>
      </c>
      <c r="AS12" s="31">
        <f>SUM(AJ13:AJ13)</f>
        <v>0</v>
      </c>
      <c r="AT12" s="31">
        <f>SUM(AK13:AK13)</f>
        <v>0</v>
      </c>
    </row>
    <row r="13" spans="1:61" ht="12.75">
      <c r="A13" s="4" t="s">
        <v>7</v>
      </c>
      <c r="B13" s="4" t="s">
        <v>103</v>
      </c>
      <c r="C13" s="148" t="s">
        <v>217</v>
      </c>
      <c r="D13" s="149"/>
      <c r="E13" s="149"/>
      <c r="F13" s="4" t="s">
        <v>551</v>
      </c>
      <c r="G13" s="66">
        <v>3.25</v>
      </c>
      <c r="H13" s="16">
        <v>0</v>
      </c>
      <c r="I13" s="16">
        <f>G13*AN13</f>
        <v>0</v>
      </c>
      <c r="J13" s="16">
        <f>G13*AO13</f>
        <v>0</v>
      </c>
      <c r="K13" s="16">
        <f>G13*H13</f>
        <v>0</v>
      </c>
      <c r="Y13" s="28">
        <f>IF(AP13="5",BI13,0)</f>
        <v>0</v>
      </c>
      <c r="AA13" s="28">
        <f>IF(AP13="1",BG13,0)</f>
        <v>0</v>
      </c>
      <c r="AB13" s="28">
        <f>IF(AP13="1",BH13,0)</f>
        <v>0</v>
      </c>
      <c r="AC13" s="28">
        <f>IF(AP13="7",BG13,0)</f>
        <v>0</v>
      </c>
      <c r="AD13" s="28">
        <f>IF(AP13="7",BH13,0)</f>
        <v>0</v>
      </c>
      <c r="AE13" s="28">
        <f>IF(AP13="2",BG13,0)</f>
        <v>0</v>
      </c>
      <c r="AF13" s="28">
        <f>IF(AP13="2",BH13,0)</f>
        <v>0</v>
      </c>
      <c r="AG13" s="28">
        <f>IF(AP13="0",BI13,0)</f>
        <v>0</v>
      </c>
      <c r="AH13" s="24"/>
      <c r="AI13" s="16">
        <f>IF(AM13=0,K13,0)</f>
        <v>0</v>
      </c>
      <c r="AJ13" s="16">
        <f>IF(AM13=15,K13,0)</f>
        <v>0</v>
      </c>
      <c r="AK13" s="16">
        <f>IF(AM13=21,K13,0)</f>
        <v>0</v>
      </c>
      <c r="AM13" s="28">
        <v>21</v>
      </c>
      <c r="AN13" s="28">
        <f>H13*0.478134929330558</f>
        <v>0</v>
      </c>
      <c r="AO13" s="28">
        <f>H13*(1-0.478134929330558)</f>
        <v>0</v>
      </c>
      <c r="AP13" s="23" t="s">
        <v>7</v>
      </c>
      <c r="AU13" s="28">
        <f>AV13+AW13</f>
        <v>0</v>
      </c>
      <c r="AV13" s="28">
        <f>G13*AN13</f>
        <v>0</v>
      </c>
      <c r="AW13" s="28">
        <f>G13*AO13</f>
        <v>0</v>
      </c>
      <c r="AX13" s="29" t="s">
        <v>582</v>
      </c>
      <c r="AY13" s="29" t="s">
        <v>604</v>
      </c>
      <c r="AZ13" s="24" t="s">
        <v>612</v>
      </c>
      <c r="BB13" s="28">
        <f>AV13+AW13</f>
        <v>0</v>
      </c>
      <c r="BC13" s="28">
        <f>H13/(100-BD13)*100</f>
        <v>0</v>
      </c>
      <c r="BD13" s="28">
        <v>0</v>
      </c>
      <c r="BE13" s="28">
        <f>13</f>
        <v>13</v>
      </c>
      <c r="BG13" s="16">
        <f>G13*AN13</f>
        <v>0</v>
      </c>
      <c r="BH13" s="16">
        <f>G13*AO13</f>
        <v>0</v>
      </c>
      <c r="BI13" s="16">
        <f>G13*H13</f>
        <v>0</v>
      </c>
    </row>
    <row r="14" spans="3:7" ht="12.75">
      <c r="C14" s="153" t="s">
        <v>218</v>
      </c>
      <c r="D14" s="154"/>
      <c r="E14" s="154"/>
      <c r="G14" s="67">
        <v>3.25</v>
      </c>
    </row>
    <row r="15" spans="1:46" ht="12.75">
      <c r="A15" s="5"/>
      <c r="B15" s="13" t="s">
        <v>66</v>
      </c>
      <c r="C15" s="157" t="s">
        <v>219</v>
      </c>
      <c r="D15" s="158"/>
      <c r="E15" s="158"/>
      <c r="F15" s="5" t="s">
        <v>6</v>
      </c>
      <c r="G15" s="5" t="s">
        <v>6</v>
      </c>
      <c r="H15" s="5" t="s">
        <v>6</v>
      </c>
      <c r="I15" s="31">
        <f>SUM(I16:I29)</f>
        <v>0</v>
      </c>
      <c r="J15" s="31">
        <f>SUM(J16:J29)</f>
        <v>0</v>
      </c>
      <c r="K15" s="31">
        <f>SUM(K16:K29)</f>
        <v>0</v>
      </c>
      <c r="AH15" s="24"/>
      <c r="AR15" s="31">
        <f>SUM(AI16:AI29)</f>
        <v>0</v>
      </c>
      <c r="AS15" s="31">
        <f>SUM(AJ16:AJ29)</f>
        <v>0</v>
      </c>
      <c r="AT15" s="31">
        <f>SUM(AK16:AK29)</f>
        <v>0</v>
      </c>
    </row>
    <row r="16" spans="1:61" ht="12.75">
      <c r="A16" s="4" t="s">
        <v>8</v>
      </c>
      <c r="B16" s="4" t="s">
        <v>104</v>
      </c>
      <c r="C16" s="148" t="s">
        <v>220</v>
      </c>
      <c r="D16" s="149"/>
      <c r="E16" s="149"/>
      <c r="F16" s="4" t="s">
        <v>551</v>
      </c>
      <c r="G16" s="66">
        <v>47.197</v>
      </c>
      <c r="H16" s="16">
        <v>0</v>
      </c>
      <c r="I16" s="16">
        <f>G16*AN16</f>
        <v>0</v>
      </c>
      <c r="J16" s="16">
        <f>G16*AO16</f>
        <v>0</v>
      </c>
      <c r="K16" s="16">
        <f>G16*H16</f>
        <v>0</v>
      </c>
      <c r="Y16" s="28">
        <f>IF(AP16="5",BI16,0)</f>
        <v>0</v>
      </c>
      <c r="AA16" s="28">
        <f>IF(AP16="1",BG16,0)</f>
        <v>0</v>
      </c>
      <c r="AB16" s="28">
        <f>IF(AP16="1",BH16,0)</f>
        <v>0</v>
      </c>
      <c r="AC16" s="28">
        <f>IF(AP16="7",BG16,0)</f>
        <v>0</v>
      </c>
      <c r="AD16" s="28">
        <f>IF(AP16="7",BH16,0)</f>
        <v>0</v>
      </c>
      <c r="AE16" s="28">
        <f>IF(AP16="2",BG16,0)</f>
        <v>0</v>
      </c>
      <c r="AF16" s="28">
        <f>IF(AP16="2",BH16,0)</f>
        <v>0</v>
      </c>
      <c r="AG16" s="28">
        <f>IF(AP16="0",BI16,0)</f>
        <v>0</v>
      </c>
      <c r="AH16" s="24"/>
      <c r="AI16" s="16">
        <f>IF(AM16=0,K16,0)</f>
        <v>0</v>
      </c>
      <c r="AJ16" s="16">
        <f>IF(AM16=15,K16,0)</f>
        <v>0</v>
      </c>
      <c r="AK16" s="16">
        <f>IF(AM16=21,K16,0)</f>
        <v>0</v>
      </c>
      <c r="AM16" s="28">
        <v>21</v>
      </c>
      <c r="AN16" s="28">
        <f>H16*0.094033663673074</f>
        <v>0</v>
      </c>
      <c r="AO16" s="28">
        <f>H16*(1-0.094033663673074)</f>
        <v>0</v>
      </c>
      <c r="AP16" s="23" t="s">
        <v>7</v>
      </c>
      <c r="AU16" s="28">
        <f>AV16+AW16</f>
        <v>0</v>
      </c>
      <c r="AV16" s="28">
        <f>G16*AN16</f>
        <v>0</v>
      </c>
      <c r="AW16" s="28">
        <f>G16*AO16</f>
        <v>0</v>
      </c>
      <c r="AX16" s="29" t="s">
        <v>583</v>
      </c>
      <c r="AY16" s="29" t="s">
        <v>605</v>
      </c>
      <c r="AZ16" s="24" t="s">
        <v>612</v>
      </c>
      <c r="BB16" s="28">
        <f>AV16+AW16</f>
        <v>0</v>
      </c>
      <c r="BC16" s="28">
        <f>H16/(100-BD16)*100</f>
        <v>0</v>
      </c>
      <c r="BD16" s="28">
        <v>0</v>
      </c>
      <c r="BE16" s="28">
        <f>16</f>
        <v>16</v>
      </c>
      <c r="BG16" s="16">
        <f>G16*AN16</f>
        <v>0</v>
      </c>
      <c r="BH16" s="16">
        <f>G16*AO16</f>
        <v>0</v>
      </c>
      <c r="BI16" s="16">
        <f>G16*H16</f>
        <v>0</v>
      </c>
    </row>
    <row r="17" spans="3:7" ht="12.75">
      <c r="C17" s="153" t="s">
        <v>221</v>
      </c>
      <c r="D17" s="154"/>
      <c r="E17" s="154"/>
      <c r="G17" s="67">
        <v>0</v>
      </c>
    </row>
    <row r="18" spans="3:7" ht="12.75">
      <c r="C18" s="153" t="s">
        <v>222</v>
      </c>
      <c r="D18" s="154"/>
      <c r="E18" s="154"/>
      <c r="G18" s="67">
        <v>1.83</v>
      </c>
    </row>
    <row r="19" spans="3:7" ht="12.75">
      <c r="C19" s="153" t="s">
        <v>223</v>
      </c>
      <c r="D19" s="154"/>
      <c r="E19" s="154"/>
      <c r="G19" s="67">
        <v>2.914</v>
      </c>
    </row>
    <row r="20" spans="3:7" ht="12.75">
      <c r="C20" s="153" t="s">
        <v>224</v>
      </c>
      <c r="D20" s="154"/>
      <c r="E20" s="154"/>
      <c r="G20" s="67">
        <v>3.311</v>
      </c>
    </row>
    <row r="21" spans="3:7" ht="12.75">
      <c r="C21" s="153" t="s">
        <v>225</v>
      </c>
      <c r="D21" s="154"/>
      <c r="E21" s="154"/>
      <c r="G21" s="67">
        <v>27.18</v>
      </c>
    </row>
    <row r="22" spans="3:7" ht="12.75">
      <c r="C22" s="153" t="s">
        <v>226</v>
      </c>
      <c r="D22" s="154"/>
      <c r="E22" s="154"/>
      <c r="G22" s="67">
        <v>-10.154</v>
      </c>
    </row>
    <row r="23" spans="3:7" ht="12.75">
      <c r="C23" s="153" t="s">
        <v>227</v>
      </c>
      <c r="D23" s="154"/>
      <c r="E23" s="154"/>
      <c r="G23" s="67">
        <v>3.696</v>
      </c>
    </row>
    <row r="24" spans="3:7" ht="12.75">
      <c r="C24" s="153" t="s">
        <v>228</v>
      </c>
      <c r="D24" s="154"/>
      <c r="E24" s="154"/>
      <c r="G24" s="67">
        <v>2.484</v>
      </c>
    </row>
    <row r="25" spans="3:7" ht="12.75">
      <c r="C25" s="153" t="s">
        <v>229</v>
      </c>
      <c r="D25" s="154"/>
      <c r="E25" s="154"/>
      <c r="G25" s="67">
        <v>2.496</v>
      </c>
    </row>
    <row r="26" spans="3:7" ht="12.75">
      <c r="C26" s="153" t="s">
        <v>230</v>
      </c>
      <c r="D26" s="154"/>
      <c r="E26" s="154"/>
      <c r="G26" s="67">
        <v>3.72</v>
      </c>
    </row>
    <row r="27" spans="3:7" ht="12.75">
      <c r="C27" s="153" t="s">
        <v>231</v>
      </c>
      <c r="D27" s="154"/>
      <c r="E27" s="154"/>
      <c r="G27" s="67">
        <v>16.078</v>
      </c>
    </row>
    <row r="28" spans="3:7" ht="12.75">
      <c r="C28" s="153" t="s">
        <v>232</v>
      </c>
      <c r="D28" s="154"/>
      <c r="E28" s="154"/>
      <c r="G28" s="67">
        <v>-6.358</v>
      </c>
    </row>
    <row r="29" spans="1:61" ht="12.75">
      <c r="A29" s="4" t="s">
        <v>9</v>
      </c>
      <c r="B29" s="4" t="s">
        <v>105</v>
      </c>
      <c r="C29" s="148" t="s">
        <v>233</v>
      </c>
      <c r="D29" s="149"/>
      <c r="E29" s="149"/>
      <c r="F29" s="4" t="s">
        <v>551</v>
      </c>
      <c r="G29" s="66">
        <v>5.845</v>
      </c>
      <c r="H29" s="16">
        <v>0</v>
      </c>
      <c r="I29" s="16">
        <f>G29*AN29</f>
        <v>0</v>
      </c>
      <c r="J29" s="16">
        <f>G29*AO29</f>
        <v>0</v>
      </c>
      <c r="K29" s="16">
        <f>G29*H29</f>
        <v>0</v>
      </c>
      <c r="Y29" s="28">
        <f>IF(AP29="5",BI29,0)</f>
        <v>0</v>
      </c>
      <c r="AA29" s="28">
        <f>IF(AP29="1",BG29,0)</f>
        <v>0</v>
      </c>
      <c r="AB29" s="28">
        <f>IF(AP29="1",BH29,0)</f>
        <v>0</v>
      </c>
      <c r="AC29" s="28">
        <f>IF(AP29="7",BG29,0)</f>
        <v>0</v>
      </c>
      <c r="AD29" s="28">
        <f>IF(AP29="7",BH29,0)</f>
        <v>0</v>
      </c>
      <c r="AE29" s="28">
        <f>IF(AP29="2",BG29,0)</f>
        <v>0</v>
      </c>
      <c r="AF29" s="28">
        <f>IF(AP29="2",BH29,0)</f>
        <v>0</v>
      </c>
      <c r="AG29" s="28">
        <f>IF(AP29="0",BI29,0)</f>
        <v>0</v>
      </c>
      <c r="AH29" s="24"/>
      <c r="AI29" s="16">
        <f>IF(AM29=0,K29,0)</f>
        <v>0</v>
      </c>
      <c r="AJ29" s="16">
        <f>IF(AM29=15,K29,0)</f>
        <v>0</v>
      </c>
      <c r="AK29" s="16">
        <f>IF(AM29=21,K29,0)</f>
        <v>0</v>
      </c>
      <c r="AM29" s="28">
        <v>21</v>
      </c>
      <c r="AN29" s="28">
        <f>H29*0.1396875</f>
        <v>0</v>
      </c>
      <c r="AO29" s="28">
        <f>H29*(1-0.1396875)</f>
        <v>0</v>
      </c>
      <c r="AP29" s="23" t="s">
        <v>7</v>
      </c>
      <c r="AU29" s="28">
        <f>AV29+AW29</f>
        <v>0</v>
      </c>
      <c r="AV29" s="28">
        <f>G29*AN29</f>
        <v>0</v>
      </c>
      <c r="AW29" s="28">
        <f>G29*AO29</f>
        <v>0</v>
      </c>
      <c r="AX29" s="29" t="s">
        <v>583</v>
      </c>
      <c r="AY29" s="29" t="s">
        <v>605</v>
      </c>
      <c r="AZ29" s="24" t="s">
        <v>612</v>
      </c>
      <c r="BB29" s="28">
        <f>AV29+AW29</f>
        <v>0</v>
      </c>
      <c r="BC29" s="28">
        <f>H29/(100-BD29)*100</f>
        <v>0</v>
      </c>
      <c r="BD29" s="28">
        <v>0</v>
      </c>
      <c r="BE29" s="28">
        <f>29</f>
        <v>29</v>
      </c>
      <c r="BG29" s="16">
        <f>G29*AN29</f>
        <v>0</v>
      </c>
      <c r="BH29" s="16">
        <f>G29*AO29</f>
        <v>0</v>
      </c>
      <c r="BI29" s="16">
        <f>G29*H29</f>
        <v>0</v>
      </c>
    </row>
    <row r="30" spans="3:7" ht="12.75">
      <c r="C30" s="153" t="s">
        <v>234</v>
      </c>
      <c r="D30" s="154"/>
      <c r="E30" s="154"/>
      <c r="G30" s="67">
        <v>1.476</v>
      </c>
    </row>
    <row r="31" spans="3:7" ht="12.75">
      <c r="C31" s="153" t="s">
        <v>235</v>
      </c>
      <c r="D31" s="154"/>
      <c r="E31" s="154"/>
      <c r="G31" s="67">
        <v>4.369</v>
      </c>
    </row>
    <row r="32" spans="1:46" ht="12.75">
      <c r="A32" s="5"/>
      <c r="B32" s="13" t="s">
        <v>67</v>
      </c>
      <c r="C32" s="157" t="s">
        <v>236</v>
      </c>
      <c r="D32" s="158"/>
      <c r="E32" s="158"/>
      <c r="F32" s="5" t="s">
        <v>6</v>
      </c>
      <c r="G32" s="5" t="s">
        <v>6</v>
      </c>
      <c r="H32" s="5" t="s">
        <v>6</v>
      </c>
      <c r="I32" s="31">
        <f>SUM(I33:I88)</f>
        <v>0</v>
      </c>
      <c r="J32" s="31">
        <f>SUM(J33:J88)</f>
        <v>0</v>
      </c>
      <c r="K32" s="31">
        <f>SUM(K33:K88)</f>
        <v>0</v>
      </c>
      <c r="AH32" s="24"/>
      <c r="AR32" s="31">
        <f>SUM(AI33:AI88)</f>
        <v>0</v>
      </c>
      <c r="AS32" s="31">
        <f>SUM(AJ33:AJ88)</f>
        <v>0</v>
      </c>
      <c r="AT32" s="31">
        <f>SUM(AK33:AK88)</f>
        <v>0</v>
      </c>
    </row>
    <row r="33" spans="1:61" ht="12.75">
      <c r="A33" s="69" t="s">
        <v>10</v>
      </c>
      <c r="B33" s="69" t="s">
        <v>106</v>
      </c>
      <c r="C33" s="163" t="s">
        <v>237</v>
      </c>
      <c r="D33" s="149"/>
      <c r="E33" s="164"/>
      <c r="F33" s="69" t="s">
        <v>552</v>
      </c>
      <c r="G33" s="71">
        <v>31.5</v>
      </c>
      <c r="H33" s="72">
        <v>0</v>
      </c>
      <c r="I33" s="72">
        <f>G33*AN33</f>
        <v>0</v>
      </c>
      <c r="J33" s="72">
        <f>G33*AO33</f>
        <v>0</v>
      </c>
      <c r="K33" s="72">
        <f>G33*H33</f>
        <v>0</v>
      </c>
      <c r="Y33" s="28">
        <f>IF(AP33="5",BI33,0)</f>
        <v>0</v>
      </c>
      <c r="AA33" s="28">
        <f>IF(AP33="1",BG33,0)</f>
        <v>0</v>
      </c>
      <c r="AB33" s="28">
        <f>IF(AP33="1",BH33,0)</f>
        <v>0</v>
      </c>
      <c r="AC33" s="28">
        <f>IF(AP33="7",BG33,0)</f>
        <v>0</v>
      </c>
      <c r="AD33" s="28">
        <f>IF(AP33="7",BH33,0)</f>
        <v>0</v>
      </c>
      <c r="AE33" s="28">
        <f>IF(AP33="2",BG33,0)</f>
        <v>0</v>
      </c>
      <c r="AF33" s="28">
        <f>IF(AP33="2",BH33,0)</f>
        <v>0</v>
      </c>
      <c r="AG33" s="28">
        <f>IF(AP33="0",BI33,0)</f>
        <v>0</v>
      </c>
      <c r="AH33" s="24"/>
      <c r="AI33" s="16">
        <f>IF(AM33=0,K33,0)</f>
        <v>0</v>
      </c>
      <c r="AJ33" s="16">
        <f>IF(AM33=15,K33,0)</f>
        <v>0</v>
      </c>
      <c r="AK33" s="16">
        <f>IF(AM33=21,K33,0)</f>
        <v>0</v>
      </c>
      <c r="AM33" s="28">
        <v>21</v>
      </c>
      <c r="AN33" s="28">
        <f>H33*0.0880514705882353</f>
        <v>0</v>
      </c>
      <c r="AO33" s="28">
        <f>H33*(1-0.0880514705882353)</f>
        <v>0</v>
      </c>
      <c r="AP33" s="23" t="s">
        <v>7</v>
      </c>
      <c r="AU33" s="28">
        <f>AV33+AW33</f>
        <v>0</v>
      </c>
      <c r="AV33" s="28">
        <f>G33*AN33</f>
        <v>0</v>
      </c>
      <c r="AW33" s="28">
        <f>G33*AO33</f>
        <v>0</v>
      </c>
      <c r="AX33" s="29" t="s">
        <v>584</v>
      </c>
      <c r="AY33" s="29" t="s">
        <v>605</v>
      </c>
      <c r="AZ33" s="24" t="s">
        <v>612</v>
      </c>
      <c r="BB33" s="28">
        <f>AV33+AW33</f>
        <v>0</v>
      </c>
      <c r="BC33" s="28">
        <f>H33/(100-BD33)*100</f>
        <v>0</v>
      </c>
      <c r="BD33" s="28">
        <v>0</v>
      </c>
      <c r="BE33" s="28">
        <f>33</f>
        <v>33</v>
      </c>
      <c r="BG33" s="16">
        <f>G33*AN33</f>
        <v>0</v>
      </c>
      <c r="BH33" s="16">
        <f>G33*AO33</f>
        <v>0</v>
      </c>
      <c r="BI33" s="16">
        <f>G33*H33</f>
        <v>0</v>
      </c>
    </row>
    <row r="34" spans="1:11" ht="12.75">
      <c r="A34" s="74"/>
      <c r="B34" s="74"/>
      <c r="C34" s="165" t="s">
        <v>238</v>
      </c>
      <c r="D34" s="154"/>
      <c r="E34" s="166"/>
      <c r="F34" s="74"/>
      <c r="G34" s="75">
        <v>0</v>
      </c>
      <c r="H34" s="74"/>
      <c r="I34" s="74"/>
      <c r="J34" s="74"/>
      <c r="K34" s="74"/>
    </row>
    <row r="35" spans="1:11" ht="12.75">
      <c r="A35" s="74"/>
      <c r="B35" s="74"/>
      <c r="C35" s="165" t="s">
        <v>239</v>
      </c>
      <c r="D35" s="154"/>
      <c r="E35" s="166"/>
      <c r="F35" s="74"/>
      <c r="G35" s="75">
        <v>1</v>
      </c>
      <c r="H35" s="74"/>
      <c r="I35" s="74"/>
      <c r="J35" s="74"/>
      <c r="K35" s="74"/>
    </row>
    <row r="36" spans="1:11" ht="12.75">
      <c r="A36" s="74"/>
      <c r="B36" s="74"/>
      <c r="C36" s="165" t="s">
        <v>240</v>
      </c>
      <c r="D36" s="154"/>
      <c r="E36" s="166"/>
      <c r="F36" s="74"/>
      <c r="G36" s="75">
        <v>0</v>
      </c>
      <c r="H36" s="74"/>
      <c r="I36" s="74"/>
      <c r="J36" s="74"/>
      <c r="K36" s="74"/>
    </row>
    <row r="37" spans="1:11" ht="12.75">
      <c r="A37" s="70"/>
      <c r="B37" s="70"/>
      <c r="C37" s="167" t="s">
        <v>241</v>
      </c>
      <c r="D37" s="154"/>
      <c r="E37" s="168"/>
      <c r="F37" s="70"/>
      <c r="G37" s="73">
        <v>30.5</v>
      </c>
      <c r="H37" s="70"/>
      <c r="I37" s="70"/>
      <c r="J37" s="70"/>
      <c r="K37" s="70"/>
    </row>
    <row r="38" spans="1:61" ht="12.75">
      <c r="A38" s="4" t="s">
        <v>11</v>
      </c>
      <c r="B38" s="4" t="s">
        <v>107</v>
      </c>
      <c r="C38" s="148" t="s">
        <v>242</v>
      </c>
      <c r="D38" s="149"/>
      <c r="E38" s="149"/>
      <c r="F38" s="4" t="s">
        <v>552</v>
      </c>
      <c r="G38" s="66">
        <v>15</v>
      </c>
      <c r="H38" s="16">
        <v>0</v>
      </c>
      <c r="I38" s="16">
        <f>G38*AN38</f>
        <v>0</v>
      </c>
      <c r="J38" s="16">
        <f>G38*AO38</f>
        <v>0</v>
      </c>
      <c r="K38" s="16">
        <f>G38*H38</f>
        <v>0</v>
      </c>
      <c r="Y38" s="28">
        <f>IF(AP38="5",BI38,0)</f>
        <v>0</v>
      </c>
      <c r="AA38" s="28">
        <f>IF(AP38="1",BG38,0)</f>
        <v>0</v>
      </c>
      <c r="AB38" s="28">
        <f>IF(AP38="1",BH38,0)</f>
        <v>0</v>
      </c>
      <c r="AC38" s="28">
        <f>IF(AP38="7",BG38,0)</f>
        <v>0</v>
      </c>
      <c r="AD38" s="28">
        <f>IF(AP38="7",BH38,0)</f>
        <v>0</v>
      </c>
      <c r="AE38" s="28">
        <f>IF(AP38="2",BG38,0)</f>
        <v>0</v>
      </c>
      <c r="AF38" s="28">
        <f>IF(AP38="2",BH38,0)</f>
        <v>0</v>
      </c>
      <c r="AG38" s="28">
        <f>IF(AP38="0",BI38,0)</f>
        <v>0</v>
      </c>
      <c r="AH38" s="24"/>
      <c r="AI38" s="16">
        <f>IF(AM38=0,K38,0)</f>
        <v>0</v>
      </c>
      <c r="AJ38" s="16">
        <f>IF(AM38=15,K38,0)</f>
        <v>0</v>
      </c>
      <c r="AK38" s="16">
        <f>IF(AM38=21,K38,0)</f>
        <v>0</v>
      </c>
      <c r="AM38" s="28">
        <v>21</v>
      </c>
      <c r="AN38" s="28">
        <f>H38*0.174375821287779</f>
        <v>0</v>
      </c>
      <c r="AO38" s="28">
        <f>H38*(1-0.174375821287779)</f>
        <v>0</v>
      </c>
      <c r="AP38" s="23" t="s">
        <v>7</v>
      </c>
      <c r="AU38" s="28">
        <f>AV38+AW38</f>
        <v>0</v>
      </c>
      <c r="AV38" s="28">
        <f>G38*AN38</f>
        <v>0</v>
      </c>
      <c r="AW38" s="28">
        <f>G38*AO38</f>
        <v>0</v>
      </c>
      <c r="AX38" s="29" t="s">
        <v>584</v>
      </c>
      <c r="AY38" s="29" t="s">
        <v>605</v>
      </c>
      <c r="AZ38" s="24" t="s">
        <v>612</v>
      </c>
      <c r="BB38" s="28">
        <f>AV38+AW38</f>
        <v>0</v>
      </c>
      <c r="BC38" s="28">
        <f>H38/(100-BD38)*100</f>
        <v>0</v>
      </c>
      <c r="BD38" s="28">
        <v>0</v>
      </c>
      <c r="BE38" s="28">
        <f>38</f>
        <v>38</v>
      </c>
      <c r="BG38" s="16">
        <f>G38*AN38</f>
        <v>0</v>
      </c>
      <c r="BH38" s="16">
        <f>G38*AO38</f>
        <v>0</v>
      </c>
      <c r="BI38" s="16">
        <f>G38*H38</f>
        <v>0</v>
      </c>
    </row>
    <row r="39" spans="3:7" ht="12.75">
      <c r="C39" s="153" t="s">
        <v>243</v>
      </c>
      <c r="D39" s="154"/>
      <c r="E39" s="154"/>
      <c r="G39" s="67">
        <v>0</v>
      </c>
    </row>
    <row r="40" spans="3:7" ht="12.75">
      <c r="C40" s="153" t="s">
        <v>244</v>
      </c>
      <c r="D40" s="154"/>
      <c r="E40" s="154"/>
      <c r="G40" s="67">
        <v>1</v>
      </c>
    </row>
    <row r="41" spans="3:7" ht="12.75">
      <c r="C41" s="153" t="s">
        <v>245</v>
      </c>
      <c r="D41" s="154"/>
      <c r="E41" s="154"/>
      <c r="G41" s="67">
        <v>0</v>
      </c>
    </row>
    <row r="42" spans="3:7" ht="12.75">
      <c r="C42" s="153" t="s">
        <v>246</v>
      </c>
      <c r="D42" s="154"/>
      <c r="E42" s="154"/>
      <c r="G42" s="67">
        <v>14</v>
      </c>
    </row>
    <row r="43" spans="1:61" ht="12.75">
      <c r="A43" s="4" t="s">
        <v>12</v>
      </c>
      <c r="B43" s="4" t="s">
        <v>108</v>
      </c>
      <c r="C43" s="148" t="s">
        <v>247</v>
      </c>
      <c r="D43" s="149"/>
      <c r="E43" s="149"/>
      <c r="F43" s="4" t="s">
        <v>551</v>
      </c>
      <c r="G43" s="66">
        <v>36.562</v>
      </c>
      <c r="H43" s="16">
        <v>0</v>
      </c>
      <c r="I43" s="16">
        <f>G43*AN43</f>
        <v>0</v>
      </c>
      <c r="J43" s="16">
        <f>G43*AO43</f>
        <v>0</v>
      </c>
      <c r="K43" s="16">
        <f>G43*H43</f>
        <v>0</v>
      </c>
      <c r="Y43" s="28">
        <f>IF(AP43="5",BI43,0)</f>
        <v>0</v>
      </c>
      <c r="AA43" s="28">
        <f>IF(AP43="1",BG43,0)</f>
        <v>0</v>
      </c>
      <c r="AB43" s="28">
        <f>IF(AP43="1",BH43,0)</f>
        <v>0</v>
      </c>
      <c r="AC43" s="28">
        <f>IF(AP43="7",BG43,0)</f>
        <v>0</v>
      </c>
      <c r="AD43" s="28">
        <f>IF(AP43="7",BH43,0)</f>
        <v>0</v>
      </c>
      <c r="AE43" s="28">
        <f>IF(AP43="2",BG43,0)</f>
        <v>0</v>
      </c>
      <c r="AF43" s="28">
        <f>IF(AP43="2",BH43,0)</f>
        <v>0</v>
      </c>
      <c r="AG43" s="28">
        <f>IF(AP43="0",BI43,0)</f>
        <v>0</v>
      </c>
      <c r="AH43" s="24"/>
      <c r="AI43" s="16">
        <f>IF(AM43=0,K43,0)</f>
        <v>0</v>
      </c>
      <c r="AJ43" s="16">
        <f>IF(AM43=15,K43,0)</f>
        <v>0</v>
      </c>
      <c r="AK43" s="16">
        <f>IF(AM43=21,K43,0)</f>
        <v>0</v>
      </c>
      <c r="AM43" s="28">
        <v>21</v>
      </c>
      <c r="AN43" s="28">
        <f>H43*0.157827070140563</f>
        <v>0</v>
      </c>
      <c r="AO43" s="28">
        <f>H43*(1-0.157827070140563)</f>
        <v>0</v>
      </c>
      <c r="AP43" s="23" t="s">
        <v>7</v>
      </c>
      <c r="AU43" s="28">
        <f>AV43+AW43</f>
        <v>0</v>
      </c>
      <c r="AV43" s="28">
        <f>G43*AN43</f>
        <v>0</v>
      </c>
      <c r="AW43" s="28">
        <f>G43*AO43</f>
        <v>0</v>
      </c>
      <c r="AX43" s="29" t="s">
        <v>584</v>
      </c>
      <c r="AY43" s="29" t="s">
        <v>605</v>
      </c>
      <c r="AZ43" s="24" t="s">
        <v>612</v>
      </c>
      <c r="BB43" s="28">
        <f>AV43+AW43</f>
        <v>0</v>
      </c>
      <c r="BC43" s="28">
        <f>H43/(100-BD43)*100</f>
        <v>0</v>
      </c>
      <c r="BD43" s="28">
        <v>0</v>
      </c>
      <c r="BE43" s="28">
        <f>43</f>
        <v>43</v>
      </c>
      <c r="BG43" s="16">
        <f>G43*AN43</f>
        <v>0</v>
      </c>
      <c r="BH43" s="16">
        <f>G43*AO43</f>
        <v>0</v>
      </c>
      <c r="BI43" s="16">
        <f>G43*H43</f>
        <v>0</v>
      </c>
    </row>
    <row r="44" spans="3:7" ht="12.75">
      <c r="C44" s="153" t="s">
        <v>248</v>
      </c>
      <c r="D44" s="154"/>
      <c r="E44" s="154"/>
      <c r="G44" s="67">
        <v>9.816</v>
      </c>
    </row>
    <row r="45" spans="3:7" ht="12.75">
      <c r="C45" s="153" t="s">
        <v>225</v>
      </c>
      <c r="D45" s="154"/>
      <c r="E45" s="154"/>
      <c r="G45" s="67">
        <v>27.18</v>
      </c>
    </row>
    <row r="46" spans="3:7" ht="12.75">
      <c r="C46" s="153" t="s">
        <v>226</v>
      </c>
      <c r="D46" s="154"/>
      <c r="E46" s="154"/>
      <c r="G46" s="67">
        <v>-10.154</v>
      </c>
    </row>
    <row r="47" spans="3:7" ht="12.75">
      <c r="C47" s="153" t="s">
        <v>231</v>
      </c>
      <c r="D47" s="154"/>
      <c r="E47" s="154"/>
      <c r="G47" s="67">
        <v>16.078</v>
      </c>
    </row>
    <row r="48" spans="3:7" ht="12.75">
      <c r="C48" s="153" t="s">
        <v>232</v>
      </c>
      <c r="D48" s="154"/>
      <c r="E48" s="154"/>
      <c r="G48" s="67">
        <v>-6.358</v>
      </c>
    </row>
    <row r="49" spans="1:61" ht="12.75">
      <c r="A49" s="4" t="s">
        <v>13</v>
      </c>
      <c r="B49" s="4" t="s">
        <v>109</v>
      </c>
      <c r="C49" s="148" t="s">
        <v>249</v>
      </c>
      <c r="D49" s="149"/>
      <c r="E49" s="149"/>
      <c r="F49" s="4" t="s">
        <v>551</v>
      </c>
      <c r="G49" s="66">
        <v>58.711</v>
      </c>
      <c r="H49" s="16">
        <v>0</v>
      </c>
      <c r="I49" s="16">
        <f>G49*AN49</f>
        <v>0</v>
      </c>
      <c r="J49" s="16">
        <f>G49*AO49</f>
        <v>0</v>
      </c>
      <c r="K49" s="16">
        <f>G49*H49</f>
        <v>0</v>
      </c>
      <c r="Y49" s="28">
        <f>IF(AP49="5",BI49,0)</f>
        <v>0</v>
      </c>
      <c r="AA49" s="28">
        <f>IF(AP49="1",BG49,0)</f>
        <v>0</v>
      </c>
      <c r="AB49" s="28">
        <f>IF(AP49="1",BH49,0)</f>
        <v>0</v>
      </c>
      <c r="AC49" s="28">
        <f>IF(AP49="7",BG49,0)</f>
        <v>0</v>
      </c>
      <c r="AD49" s="28">
        <f>IF(AP49="7",BH49,0)</f>
        <v>0</v>
      </c>
      <c r="AE49" s="28">
        <f>IF(AP49="2",BG49,0)</f>
        <v>0</v>
      </c>
      <c r="AF49" s="28">
        <f>IF(AP49="2",BH49,0)</f>
        <v>0</v>
      </c>
      <c r="AG49" s="28">
        <f>IF(AP49="0",BI49,0)</f>
        <v>0</v>
      </c>
      <c r="AH49" s="24"/>
      <c r="AI49" s="16">
        <f>IF(AM49=0,K49,0)</f>
        <v>0</v>
      </c>
      <c r="AJ49" s="16">
        <f>IF(AM49=15,K49,0)</f>
        <v>0</v>
      </c>
      <c r="AK49" s="16">
        <f>IF(AM49=21,K49,0)</f>
        <v>0</v>
      </c>
      <c r="AM49" s="28">
        <v>21</v>
      </c>
      <c r="AN49" s="28">
        <f>H49*0.132211552896822</f>
        <v>0</v>
      </c>
      <c r="AO49" s="28">
        <f>H49*(1-0.132211552896822)</f>
        <v>0</v>
      </c>
      <c r="AP49" s="23" t="s">
        <v>7</v>
      </c>
      <c r="AU49" s="28">
        <f>AV49+AW49</f>
        <v>0</v>
      </c>
      <c r="AV49" s="28">
        <f>G49*AN49</f>
        <v>0</v>
      </c>
      <c r="AW49" s="28">
        <f>G49*AO49</f>
        <v>0</v>
      </c>
      <c r="AX49" s="29" t="s">
        <v>584</v>
      </c>
      <c r="AY49" s="29" t="s">
        <v>605</v>
      </c>
      <c r="AZ49" s="24" t="s">
        <v>612</v>
      </c>
      <c r="BB49" s="28">
        <f>AV49+AW49</f>
        <v>0</v>
      </c>
      <c r="BC49" s="28">
        <f>H49/(100-BD49)*100</f>
        <v>0</v>
      </c>
      <c r="BD49" s="28">
        <v>0</v>
      </c>
      <c r="BE49" s="28">
        <f>49</f>
        <v>49</v>
      </c>
      <c r="BG49" s="16">
        <f>G49*AN49</f>
        <v>0</v>
      </c>
      <c r="BH49" s="16">
        <f>G49*AO49</f>
        <v>0</v>
      </c>
      <c r="BI49" s="16">
        <f>G49*H49</f>
        <v>0</v>
      </c>
    </row>
    <row r="50" spans="3:5" ht="12.75">
      <c r="C50" s="155" t="s">
        <v>250</v>
      </c>
      <c r="D50" s="156"/>
      <c r="E50" s="156"/>
    </row>
    <row r="51" spans="3:7" ht="12.75">
      <c r="C51" s="153" t="s">
        <v>251</v>
      </c>
      <c r="D51" s="154"/>
      <c r="E51" s="154"/>
      <c r="G51" s="67">
        <v>0</v>
      </c>
    </row>
    <row r="52" spans="3:7" ht="12.75">
      <c r="C52" s="153" t="s">
        <v>252</v>
      </c>
      <c r="D52" s="154"/>
      <c r="E52" s="154"/>
      <c r="G52" s="67">
        <v>1.275</v>
      </c>
    </row>
    <row r="53" spans="3:7" ht="12.75">
      <c r="C53" s="153" t="s">
        <v>253</v>
      </c>
      <c r="D53" s="154"/>
      <c r="E53" s="154"/>
      <c r="G53" s="67">
        <v>2.326</v>
      </c>
    </row>
    <row r="54" spans="3:7" ht="12.75">
      <c r="C54" s="153" t="s">
        <v>254</v>
      </c>
      <c r="D54" s="154"/>
      <c r="E54" s="154"/>
      <c r="G54" s="67">
        <v>7.922</v>
      </c>
    </row>
    <row r="55" spans="3:7" ht="12.75">
      <c r="C55" s="153" t="s">
        <v>255</v>
      </c>
      <c r="D55" s="154"/>
      <c r="E55" s="154"/>
      <c r="G55" s="67">
        <v>8.021</v>
      </c>
    </row>
    <row r="56" spans="3:7" ht="12.75">
      <c r="C56" s="153" t="s">
        <v>256</v>
      </c>
      <c r="D56" s="154"/>
      <c r="E56" s="154"/>
      <c r="G56" s="67">
        <v>9.562</v>
      </c>
    </row>
    <row r="57" spans="3:7" ht="12.75">
      <c r="C57" s="153" t="s">
        <v>257</v>
      </c>
      <c r="D57" s="154"/>
      <c r="E57" s="154"/>
      <c r="G57" s="67">
        <v>6.901</v>
      </c>
    </row>
    <row r="58" spans="3:7" ht="12.75">
      <c r="C58" s="153" t="s">
        <v>258</v>
      </c>
      <c r="D58" s="154"/>
      <c r="E58" s="154"/>
      <c r="G58" s="67">
        <v>6.941</v>
      </c>
    </row>
    <row r="59" spans="3:7" ht="12.75">
      <c r="C59" s="153" t="s">
        <v>259</v>
      </c>
      <c r="D59" s="154"/>
      <c r="E59" s="154"/>
      <c r="G59" s="67">
        <v>8.263</v>
      </c>
    </row>
    <row r="60" spans="3:7" ht="12.75">
      <c r="C60" s="153" t="s">
        <v>260</v>
      </c>
      <c r="D60" s="154"/>
      <c r="E60" s="154"/>
      <c r="G60" s="67">
        <v>3.6</v>
      </c>
    </row>
    <row r="61" spans="3:7" ht="12.75">
      <c r="C61" s="153" t="s">
        <v>261</v>
      </c>
      <c r="D61" s="154"/>
      <c r="E61" s="154"/>
      <c r="G61" s="67">
        <v>1.95</v>
      </c>
    </row>
    <row r="62" spans="3:7" ht="12.75">
      <c r="C62" s="153" t="s">
        <v>262</v>
      </c>
      <c r="D62" s="154"/>
      <c r="E62" s="154"/>
      <c r="G62" s="67">
        <v>1.95</v>
      </c>
    </row>
    <row r="63" spans="1:61" ht="12.75">
      <c r="A63" s="4" t="s">
        <v>14</v>
      </c>
      <c r="B63" s="4" t="s">
        <v>110</v>
      </c>
      <c r="C63" s="148" t="s">
        <v>263</v>
      </c>
      <c r="D63" s="149"/>
      <c r="E63" s="149"/>
      <c r="F63" s="4" t="s">
        <v>551</v>
      </c>
      <c r="G63" s="66">
        <v>5.845</v>
      </c>
      <c r="H63" s="16">
        <v>0</v>
      </c>
      <c r="I63" s="16">
        <f>G63*AN63</f>
        <v>0</v>
      </c>
      <c r="J63" s="16">
        <f>G63*AO63</f>
        <v>0</v>
      </c>
      <c r="K63" s="16">
        <f>G63*H63</f>
        <v>0</v>
      </c>
      <c r="Y63" s="28">
        <f>IF(AP63="5",BI63,0)</f>
        <v>0</v>
      </c>
      <c r="AA63" s="28">
        <f>IF(AP63="1",BG63,0)</f>
        <v>0</v>
      </c>
      <c r="AB63" s="28">
        <f>IF(AP63="1",BH63,0)</f>
        <v>0</v>
      </c>
      <c r="AC63" s="28">
        <f>IF(AP63="7",BG63,0)</f>
        <v>0</v>
      </c>
      <c r="AD63" s="28">
        <f>IF(AP63="7",BH63,0)</f>
        <v>0</v>
      </c>
      <c r="AE63" s="28">
        <f>IF(AP63="2",BG63,0)</f>
        <v>0</v>
      </c>
      <c r="AF63" s="28">
        <f>IF(AP63="2",BH63,0)</f>
        <v>0</v>
      </c>
      <c r="AG63" s="28">
        <f>IF(AP63="0",BI63,0)</f>
        <v>0</v>
      </c>
      <c r="AH63" s="24"/>
      <c r="AI63" s="16">
        <f>IF(AM63=0,K63,0)</f>
        <v>0</v>
      </c>
      <c r="AJ63" s="16">
        <f>IF(AM63=15,K63,0)</f>
        <v>0</v>
      </c>
      <c r="AK63" s="16">
        <f>IF(AM63=21,K63,0)</f>
        <v>0</v>
      </c>
      <c r="AM63" s="28">
        <v>21</v>
      </c>
      <c r="AN63" s="28">
        <f>H63*0.139525500689208</f>
        <v>0</v>
      </c>
      <c r="AO63" s="28">
        <f>H63*(1-0.139525500689208)</f>
        <v>0</v>
      </c>
      <c r="AP63" s="23" t="s">
        <v>7</v>
      </c>
      <c r="AU63" s="28">
        <f>AV63+AW63</f>
        <v>0</v>
      </c>
      <c r="AV63" s="28">
        <f>G63*AN63</f>
        <v>0</v>
      </c>
      <c r="AW63" s="28">
        <f>G63*AO63</f>
        <v>0</v>
      </c>
      <c r="AX63" s="29" t="s">
        <v>584</v>
      </c>
      <c r="AY63" s="29" t="s">
        <v>605</v>
      </c>
      <c r="AZ63" s="24" t="s">
        <v>612</v>
      </c>
      <c r="BB63" s="28">
        <f>AV63+AW63</f>
        <v>0</v>
      </c>
      <c r="BC63" s="28">
        <f>H63/(100-BD63)*100</f>
        <v>0</v>
      </c>
      <c r="BD63" s="28">
        <v>0</v>
      </c>
      <c r="BE63" s="28">
        <f>63</f>
        <v>63</v>
      </c>
      <c r="BG63" s="16">
        <f>G63*AN63</f>
        <v>0</v>
      </c>
      <c r="BH63" s="16">
        <f>G63*AO63</f>
        <v>0</v>
      </c>
      <c r="BI63" s="16">
        <f>G63*H63</f>
        <v>0</v>
      </c>
    </row>
    <row r="64" spans="3:7" ht="12.75">
      <c r="C64" s="153" t="s">
        <v>264</v>
      </c>
      <c r="D64" s="154"/>
      <c r="E64" s="154"/>
      <c r="G64" s="67">
        <v>0</v>
      </c>
    </row>
    <row r="65" spans="3:7" ht="12.75">
      <c r="C65" s="153" t="s">
        <v>234</v>
      </c>
      <c r="D65" s="154"/>
      <c r="E65" s="154"/>
      <c r="G65" s="67">
        <v>1.476</v>
      </c>
    </row>
    <row r="66" spans="3:7" ht="12.75">
      <c r="C66" s="153" t="s">
        <v>235</v>
      </c>
      <c r="D66" s="154"/>
      <c r="E66" s="154"/>
      <c r="G66" s="67">
        <v>4.369</v>
      </c>
    </row>
    <row r="67" spans="1:61" ht="12.75">
      <c r="A67" s="4" t="s">
        <v>15</v>
      </c>
      <c r="B67" s="4" t="s">
        <v>111</v>
      </c>
      <c r="C67" s="148" t="s">
        <v>265</v>
      </c>
      <c r="D67" s="149"/>
      <c r="E67" s="149"/>
      <c r="F67" s="4" t="s">
        <v>551</v>
      </c>
      <c r="G67" s="66">
        <v>10.771</v>
      </c>
      <c r="H67" s="16">
        <v>0</v>
      </c>
      <c r="I67" s="16">
        <f>G67*AN67</f>
        <v>0</v>
      </c>
      <c r="J67" s="16">
        <f>G67*AO67</f>
        <v>0</v>
      </c>
      <c r="K67" s="16">
        <f>G67*H67</f>
        <v>0</v>
      </c>
      <c r="Y67" s="28">
        <f>IF(AP67="5",BI67,0)</f>
        <v>0</v>
      </c>
      <c r="AA67" s="28">
        <f>IF(AP67="1",BG67,0)</f>
        <v>0</v>
      </c>
      <c r="AB67" s="28">
        <f>IF(AP67="1",BH67,0)</f>
        <v>0</v>
      </c>
      <c r="AC67" s="28">
        <f>IF(AP67="7",BG67,0)</f>
        <v>0</v>
      </c>
      <c r="AD67" s="28">
        <f>IF(AP67="7",BH67,0)</f>
        <v>0</v>
      </c>
      <c r="AE67" s="28">
        <f>IF(AP67="2",BG67,0)</f>
        <v>0</v>
      </c>
      <c r="AF67" s="28">
        <f>IF(AP67="2",BH67,0)</f>
        <v>0</v>
      </c>
      <c r="AG67" s="28">
        <f>IF(AP67="0",BI67,0)</f>
        <v>0</v>
      </c>
      <c r="AH67" s="24"/>
      <c r="AI67" s="16">
        <f>IF(AM67=0,K67,0)</f>
        <v>0</v>
      </c>
      <c r="AJ67" s="16">
        <f>IF(AM67=15,K67,0)</f>
        <v>0</v>
      </c>
      <c r="AK67" s="16">
        <f>IF(AM67=21,K67,0)</f>
        <v>0</v>
      </c>
      <c r="AM67" s="28">
        <v>21</v>
      </c>
      <c r="AN67" s="28">
        <f>H67*0.159433841436281</f>
        <v>0</v>
      </c>
      <c r="AO67" s="28">
        <f>H67*(1-0.159433841436281)</f>
        <v>0</v>
      </c>
      <c r="AP67" s="23" t="s">
        <v>7</v>
      </c>
      <c r="AU67" s="28">
        <f>AV67+AW67</f>
        <v>0</v>
      </c>
      <c r="AV67" s="28">
        <f>G67*AN67</f>
        <v>0</v>
      </c>
      <c r="AW67" s="28">
        <f>G67*AO67</f>
        <v>0</v>
      </c>
      <c r="AX67" s="29" t="s">
        <v>584</v>
      </c>
      <c r="AY67" s="29" t="s">
        <v>605</v>
      </c>
      <c r="AZ67" s="24" t="s">
        <v>612</v>
      </c>
      <c r="BB67" s="28">
        <f>AV67+AW67</f>
        <v>0</v>
      </c>
      <c r="BC67" s="28">
        <f>H67/(100-BD67)*100</f>
        <v>0</v>
      </c>
      <c r="BD67" s="28">
        <v>0</v>
      </c>
      <c r="BE67" s="28">
        <f>67</f>
        <v>67</v>
      </c>
      <c r="BG67" s="16">
        <f>G67*AN67</f>
        <v>0</v>
      </c>
      <c r="BH67" s="16">
        <f>G67*AO67</f>
        <v>0</v>
      </c>
      <c r="BI67" s="16">
        <f>G67*H67</f>
        <v>0</v>
      </c>
    </row>
    <row r="68" spans="3:5" ht="12.75">
      <c r="C68" s="155" t="s">
        <v>266</v>
      </c>
      <c r="D68" s="156"/>
      <c r="E68" s="156"/>
    </row>
    <row r="69" spans="3:7" ht="12.75">
      <c r="C69" s="153" t="s">
        <v>267</v>
      </c>
      <c r="D69" s="154"/>
      <c r="E69" s="154"/>
      <c r="G69" s="67">
        <v>0</v>
      </c>
    </row>
    <row r="70" spans="3:7" ht="12.75">
      <c r="C70" s="153" t="s">
        <v>268</v>
      </c>
      <c r="D70" s="154"/>
      <c r="E70" s="154"/>
      <c r="G70" s="67">
        <v>77.525</v>
      </c>
    </row>
    <row r="71" spans="3:7" ht="12.75">
      <c r="C71" s="153" t="s">
        <v>269</v>
      </c>
      <c r="D71" s="154"/>
      <c r="E71" s="154"/>
      <c r="G71" s="67">
        <v>-66.754</v>
      </c>
    </row>
    <row r="72" spans="1:61" ht="12.75">
      <c r="A72" s="4" t="s">
        <v>16</v>
      </c>
      <c r="B72" s="4" t="s">
        <v>112</v>
      </c>
      <c r="C72" s="148" t="s">
        <v>270</v>
      </c>
      <c r="D72" s="149"/>
      <c r="E72" s="149"/>
      <c r="F72" s="4" t="s">
        <v>553</v>
      </c>
      <c r="G72" s="66">
        <v>5.725</v>
      </c>
      <c r="H72" s="16">
        <v>0</v>
      </c>
      <c r="I72" s="16">
        <f>G72*AN72</f>
        <v>0</v>
      </c>
      <c r="J72" s="16">
        <f>G72*AO72</f>
        <v>0</v>
      </c>
      <c r="K72" s="16">
        <f>G72*H72</f>
        <v>0</v>
      </c>
      <c r="Y72" s="28">
        <f>IF(AP72="5",BI72,0)</f>
        <v>0</v>
      </c>
      <c r="AA72" s="28">
        <f>IF(AP72="1",BG72,0)</f>
        <v>0</v>
      </c>
      <c r="AB72" s="28">
        <f>IF(AP72="1",BH72,0)</f>
        <v>0</v>
      </c>
      <c r="AC72" s="28">
        <f>IF(AP72="7",BG72,0)</f>
        <v>0</v>
      </c>
      <c r="AD72" s="28">
        <f>IF(AP72="7",BH72,0)</f>
        <v>0</v>
      </c>
      <c r="AE72" s="28">
        <f>IF(AP72="2",BG72,0)</f>
        <v>0</v>
      </c>
      <c r="AF72" s="28">
        <f>IF(AP72="2",BH72,0)</f>
        <v>0</v>
      </c>
      <c r="AG72" s="28">
        <f>IF(AP72="0",BI72,0)</f>
        <v>0</v>
      </c>
      <c r="AH72" s="24"/>
      <c r="AI72" s="16">
        <f>IF(AM72=0,K72,0)</f>
        <v>0</v>
      </c>
      <c r="AJ72" s="16">
        <f>IF(AM72=15,K72,0)</f>
        <v>0</v>
      </c>
      <c r="AK72" s="16">
        <f>IF(AM72=21,K72,0)</f>
        <v>0</v>
      </c>
      <c r="AM72" s="28">
        <v>21</v>
      </c>
      <c r="AN72" s="28">
        <f>H72*0.269027198151428</f>
        <v>0</v>
      </c>
      <c r="AO72" s="28">
        <f>H72*(1-0.269027198151428)</f>
        <v>0</v>
      </c>
      <c r="AP72" s="23" t="s">
        <v>7</v>
      </c>
      <c r="AU72" s="28">
        <f>AV72+AW72</f>
        <v>0</v>
      </c>
      <c r="AV72" s="28">
        <f>G72*AN72</f>
        <v>0</v>
      </c>
      <c r="AW72" s="28">
        <f>G72*AO72</f>
        <v>0</v>
      </c>
      <c r="AX72" s="29" t="s">
        <v>584</v>
      </c>
      <c r="AY72" s="29" t="s">
        <v>605</v>
      </c>
      <c r="AZ72" s="24" t="s">
        <v>612</v>
      </c>
      <c r="BB72" s="28">
        <f>AV72+AW72</f>
        <v>0</v>
      </c>
      <c r="BC72" s="28">
        <f>H72/(100-BD72)*100</f>
        <v>0</v>
      </c>
      <c r="BD72" s="28">
        <v>0</v>
      </c>
      <c r="BE72" s="28">
        <f>72</f>
        <v>72</v>
      </c>
      <c r="BG72" s="16">
        <f>G72*AN72</f>
        <v>0</v>
      </c>
      <c r="BH72" s="16">
        <f>G72*AO72</f>
        <v>0</v>
      </c>
      <c r="BI72" s="16">
        <f>G72*H72</f>
        <v>0</v>
      </c>
    </row>
    <row r="73" spans="3:5" ht="12.75">
      <c r="C73" s="155" t="s">
        <v>271</v>
      </c>
      <c r="D73" s="156"/>
      <c r="E73" s="156"/>
    </row>
    <row r="74" spans="3:7" ht="12.75">
      <c r="C74" s="153" t="s">
        <v>272</v>
      </c>
      <c r="D74" s="154"/>
      <c r="E74" s="154"/>
      <c r="G74" s="67">
        <v>0</v>
      </c>
    </row>
    <row r="75" spans="3:7" ht="12.75">
      <c r="C75" s="153" t="s">
        <v>273</v>
      </c>
      <c r="D75" s="154"/>
      <c r="E75" s="154"/>
      <c r="G75" s="67">
        <v>0</v>
      </c>
    </row>
    <row r="76" spans="3:7" ht="12.75">
      <c r="C76" s="153" t="s">
        <v>274</v>
      </c>
      <c r="D76" s="154"/>
      <c r="E76" s="154"/>
      <c r="G76" s="67">
        <v>0.425</v>
      </c>
    </row>
    <row r="77" spans="3:7" ht="12.75">
      <c r="C77" s="153" t="s">
        <v>275</v>
      </c>
      <c r="D77" s="154"/>
      <c r="E77" s="154"/>
      <c r="G77" s="67">
        <v>2.65</v>
      </c>
    </row>
    <row r="78" spans="3:7" ht="12.75">
      <c r="C78" s="153" t="s">
        <v>276</v>
      </c>
      <c r="D78" s="154"/>
      <c r="E78" s="154"/>
      <c r="G78" s="67">
        <v>2.65</v>
      </c>
    </row>
    <row r="79" spans="1:61" ht="12.75">
      <c r="A79" s="76" t="s">
        <v>17</v>
      </c>
      <c r="B79" s="76" t="s">
        <v>113</v>
      </c>
      <c r="C79" s="160" t="s">
        <v>277</v>
      </c>
      <c r="D79" s="149"/>
      <c r="E79" s="149"/>
      <c r="F79" s="76" t="s">
        <v>551</v>
      </c>
      <c r="G79" s="77">
        <v>20.753</v>
      </c>
      <c r="H79" s="78">
        <v>0</v>
      </c>
      <c r="I79" s="78">
        <f>G79*AN79</f>
        <v>0</v>
      </c>
      <c r="J79" s="78">
        <f>G79*AO79</f>
        <v>0</v>
      </c>
      <c r="K79" s="78">
        <f>G79*H79</f>
        <v>0</v>
      </c>
      <c r="Y79" s="28">
        <f>IF(AP79="5",BI79,0)</f>
        <v>0</v>
      </c>
      <c r="AA79" s="28">
        <f>IF(AP79="1",BG79,0)</f>
        <v>0</v>
      </c>
      <c r="AB79" s="28">
        <f>IF(AP79="1",BH79,0)</f>
        <v>0</v>
      </c>
      <c r="AC79" s="28">
        <f>IF(AP79="7",BG79,0)</f>
        <v>0</v>
      </c>
      <c r="AD79" s="28">
        <f>IF(AP79="7",BH79,0)</f>
        <v>0</v>
      </c>
      <c r="AE79" s="28">
        <f>IF(AP79="2",BG79,0)</f>
        <v>0</v>
      </c>
      <c r="AF79" s="28">
        <f>IF(AP79="2",BH79,0)</f>
        <v>0</v>
      </c>
      <c r="AG79" s="28">
        <f>IF(AP79="0",BI79,0)</f>
        <v>0</v>
      </c>
      <c r="AH79" s="24"/>
      <c r="AI79" s="16">
        <f>IF(AM79=0,K79,0)</f>
        <v>0</v>
      </c>
      <c r="AJ79" s="16">
        <f>IF(AM79=15,K79,0)</f>
        <v>0</v>
      </c>
      <c r="AK79" s="16">
        <f>IF(AM79=21,K79,0)</f>
        <v>0</v>
      </c>
      <c r="AM79" s="28">
        <v>21</v>
      </c>
      <c r="AN79" s="28">
        <f>H79*0.293420060443392</f>
        <v>0</v>
      </c>
      <c r="AO79" s="28">
        <f>H79*(1-0.293420060443392)</f>
        <v>0</v>
      </c>
      <c r="AP79" s="23" t="s">
        <v>7</v>
      </c>
      <c r="AU79" s="28">
        <f>AV79+AW79</f>
        <v>0</v>
      </c>
      <c r="AV79" s="28">
        <f>G79*AN79</f>
        <v>0</v>
      </c>
      <c r="AW79" s="28">
        <f>G79*AO79</f>
        <v>0</v>
      </c>
      <c r="AX79" s="29" t="s">
        <v>584</v>
      </c>
      <c r="AY79" s="29" t="s">
        <v>605</v>
      </c>
      <c r="AZ79" s="24" t="s">
        <v>612</v>
      </c>
      <c r="BB79" s="28">
        <f>AV79+AW79</f>
        <v>0</v>
      </c>
      <c r="BC79" s="28">
        <f>H79/(100-BD79)*100</f>
        <v>0</v>
      </c>
      <c r="BD79" s="28">
        <v>0</v>
      </c>
      <c r="BE79" s="28">
        <f>79</f>
        <v>79</v>
      </c>
      <c r="BG79" s="16">
        <f>G79*AN79</f>
        <v>0</v>
      </c>
      <c r="BH79" s="16">
        <f>G79*AO79</f>
        <v>0</v>
      </c>
      <c r="BI79" s="16">
        <f>G79*H79</f>
        <v>0</v>
      </c>
    </row>
    <row r="80" spans="1:11" ht="12.75">
      <c r="A80" s="79"/>
      <c r="B80" s="79"/>
      <c r="C80" s="159" t="s">
        <v>278</v>
      </c>
      <c r="D80" s="154"/>
      <c r="E80" s="154"/>
      <c r="F80" s="79"/>
      <c r="G80" s="80">
        <v>0</v>
      </c>
      <c r="H80" s="79"/>
      <c r="I80" s="79"/>
      <c r="J80" s="79"/>
      <c r="K80" s="79"/>
    </row>
    <row r="81" spans="1:11" ht="12.75">
      <c r="A81" s="79"/>
      <c r="B81" s="79"/>
      <c r="C81" s="159" t="s">
        <v>279</v>
      </c>
      <c r="D81" s="154"/>
      <c r="E81" s="154"/>
      <c r="F81" s="79"/>
      <c r="G81" s="80">
        <v>0</v>
      </c>
      <c r="H81" s="79"/>
      <c r="I81" s="79"/>
      <c r="J81" s="79"/>
      <c r="K81" s="79"/>
    </row>
    <row r="82" spans="1:11" ht="12.75">
      <c r="A82" s="79"/>
      <c r="B82" s="79"/>
      <c r="C82" s="159" t="s">
        <v>280</v>
      </c>
      <c r="D82" s="154"/>
      <c r="E82" s="154"/>
      <c r="F82" s="79"/>
      <c r="G82" s="80">
        <v>9.45</v>
      </c>
      <c r="H82" s="79"/>
      <c r="I82" s="79"/>
      <c r="J82" s="79"/>
      <c r="K82" s="79"/>
    </row>
    <row r="83" spans="1:11" ht="12.75">
      <c r="A83" s="79"/>
      <c r="B83" s="79"/>
      <c r="C83" s="159" t="s">
        <v>281</v>
      </c>
      <c r="D83" s="154"/>
      <c r="E83" s="154"/>
      <c r="F83" s="79"/>
      <c r="G83" s="80">
        <v>0</v>
      </c>
      <c r="H83" s="79"/>
      <c r="I83" s="79"/>
      <c r="J83" s="79"/>
      <c r="K83" s="79"/>
    </row>
    <row r="84" spans="1:11" ht="12.75">
      <c r="A84" s="79"/>
      <c r="B84" s="79"/>
      <c r="C84" s="159" t="s">
        <v>282</v>
      </c>
      <c r="D84" s="154"/>
      <c r="E84" s="154"/>
      <c r="F84" s="79"/>
      <c r="G84" s="80">
        <v>11.303</v>
      </c>
      <c r="H84" s="79"/>
      <c r="I84" s="79"/>
      <c r="J84" s="79"/>
      <c r="K84" s="79"/>
    </row>
    <row r="85" spans="1:61" ht="12.75">
      <c r="A85" s="76" t="s">
        <v>18</v>
      </c>
      <c r="B85" s="76" t="s">
        <v>114</v>
      </c>
      <c r="C85" s="160" t="s">
        <v>283</v>
      </c>
      <c r="D85" s="149"/>
      <c r="E85" s="149"/>
      <c r="F85" s="76" t="s">
        <v>551</v>
      </c>
      <c r="G85" s="77">
        <v>2.1</v>
      </c>
      <c r="H85" s="78">
        <v>0</v>
      </c>
      <c r="I85" s="78">
        <f>G85*AN85</f>
        <v>0</v>
      </c>
      <c r="J85" s="78">
        <f>G85*AO85</f>
        <v>0</v>
      </c>
      <c r="K85" s="78">
        <f>G85*H85</f>
        <v>0</v>
      </c>
      <c r="Y85" s="28">
        <f>IF(AP85="5",BI85,0)</f>
        <v>0</v>
      </c>
      <c r="AA85" s="28">
        <f>IF(AP85="1",BG85,0)</f>
        <v>0</v>
      </c>
      <c r="AB85" s="28">
        <f>IF(AP85="1",BH85,0)</f>
        <v>0</v>
      </c>
      <c r="AC85" s="28">
        <f>IF(AP85="7",BG85,0)</f>
        <v>0</v>
      </c>
      <c r="AD85" s="28">
        <f>IF(AP85="7",BH85,0)</f>
        <v>0</v>
      </c>
      <c r="AE85" s="28">
        <f>IF(AP85="2",BG85,0)</f>
        <v>0</v>
      </c>
      <c r="AF85" s="28">
        <f>IF(AP85="2",BH85,0)</f>
        <v>0</v>
      </c>
      <c r="AG85" s="28">
        <f>IF(AP85="0",BI85,0)</f>
        <v>0</v>
      </c>
      <c r="AH85" s="24"/>
      <c r="AI85" s="16">
        <f>IF(AM85=0,K85,0)</f>
        <v>0</v>
      </c>
      <c r="AJ85" s="16">
        <f>IF(AM85=15,K85,0)</f>
        <v>0</v>
      </c>
      <c r="AK85" s="16">
        <f>IF(AM85=21,K85,0)</f>
        <v>0</v>
      </c>
      <c r="AM85" s="28">
        <v>21</v>
      </c>
      <c r="AN85" s="28">
        <f>H85*0.181901755433739</f>
        <v>0</v>
      </c>
      <c r="AO85" s="28">
        <f>H85*(1-0.181901755433739)</f>
        <v>0</v>
      </c>
      <c r="AP85" s="23" t="s">
        <v>7</v>
      </c>
      <c r="AU85" s="28">
        <f>AV85+AW85</f>
        <v>0</v>
      </c>
      <c r="AV85" s="28">
        <f>G85*AN85</f>
        <v>0</v>
      </c>
      <c r="AW85" s="28">
        <f>G85*AO85</f>
        <v>0</v>
      </c>
      <c r="AX85" s="29" t="s">
        <v>584</v>
      </c>
      <c r="AY85" s="29" t="s">
        <v>605</v>
      </c>
      <c r="AZ85" s="24" t="s">
        <v>612</v>
      </c>
      <c r="BB85" s="28">
        <f>AV85+AW85</f>
        <v>0</v>
      </c>
      <c r="BC85" s="28">
        <f>H85/(100-BD85)*100</f>
        <v>0</v>
      </c>
      <c r="BD85" s="28">
        <v>0</v>
      </c>
      <c r="BE85" s="28">
        <f>85</f>
        <v>85</v>
      </c>
      <c r="BG85" s="16">
        <f>G85*AN85</f>
        <v>0</v>
      </c>
      <c r="BH85" s="16">
        <f>G85*AO85</f>
        <v>0</v>
      </c>
      <c r="BI85" s="16">
        <f>G85*H85</f>
        <v>0</v>
      </c>
    </row>
    <row r="86" spans="1:11" ht="12.75">
      <c r="A86" s="79"/>
      <c r="B86" s="79"/>
      <c r="C86" s="159" t="s">
        <v>284</v>
      </c>
      <c r="D86" s="154"/>
      <c r="E86" s="154"/>
      <c r="F86" s="79"/>
      <c r="G86" s="80">
        <v>0</v>
      </c>
      <c r="H86" s="79"/>
      <c r="I86" s="79"/>
      <c r="J86" s="79"/>
      <c r="K86" s="79"/>
    </row>
    <row r="87" spans="1:11" ht="12.75">
      <c r="A87" s="79"/>
      <c r="B87" s="79"/>
      <c r="C87" s="159" t="s">
        <v>285</v>
      </c>
      <c r="D87" s="154"/>
      <c r="E87" s="154"/>
      <c r="F87" s="79"/>
      <c r="G87" s="80">
        <v>2.1</v>
      </c>
      <c r="H87" s="79"/>
      <c r="I87" s="79"/>
      <c r="J87" s="79"/>
      <c r="K87" s="79"/>
    </row>
    <row r="88" spans="1:61" ht="12.75">
      <c r="A88" s="4" t="s">
        <v>19</v>
      </c>
      <c r="B88" s="4" t="s">
        <v>115</v>
      </c>
      <c r="C88" s="148" t="s">
        <v>286</v>
      </c>
      <c r="D88" s="149"/>
      <c r="E88" s="149"/>
      <c r="F88" s="4" t="s">
        <v>552</v>
      </c>
      <c r="G88" s="66">
        <v>4.1</v>
      </c>
      <c r="H88" s="16">
        <v>0</v>
      </c>
      <c r="I88" s="16">
        <f>G88*AN88</f>
        <v>0</v>
      </c>
      <c r="J88" s="16">
        <f>G88*AO88</f>
        <v>0</v>
      </c>
      <c r="K88" s="16">
        <f>G88*H88</f>
        <v>0</v>
      </c>
      <c r="Y88" s="28">
        <f>IF(AP88="5",BI88,0)</f>
        <v>0</v>
      </c>
      <c r="AA88" s="28">
        <f>IF(AP88="1",BG88,0)</f>
        <v>0</v>
      </c>
      <c r="AB88" s="28">
        <f>IF(AP88="1",BH88,0)</f>
        <v>0</v>
      </c>
      <c r="AC88" s="28">
        <f>IF(AP88="7",BG88,0)</f>
        <v>0</v>
      </c>
      <c r="AD88" s="28">
        <f>IF(AP88="7",BH88,0)</f>
        <v>0</v>
      </c>
      <c r="AE88" s="28">
        <f>IF(AP88="2",BG88,0)</f>
        <v>0</v>
      </c>
      <c r="AF88" s="28">
        <f>IF(AP88="2",BH88,0)</f>
        <v>0</v>
      </c>
      <c r="AG88" s="28">
        <f>IF(AP88="0",BI88,0)</f>
        <v>0</v>
      </c>
      <c r="AH88" s="24"/>
      <c r="AI88" s="16">
        <f>IF(AM88=0,K88,0)</f>
        <v>0</v>
      </c>
      <c r="AJ88" s="16">
        <f>IF(AM88=15,K88,0)</f>
        <v>0</v>
      </c>
      <c r="AK88" s="16">
        <f>IF(AM88=21,K88,0)</f>
        <v>0</v>
      </c>
      <c r="AM88" s="28">
        <v>21</v>
      </c>
      <c r="AN88" s="28">
        <f>H88*0.537709923664122</f>
        <v>0</v>
      </c>
      <c r="AO88" s="28">
        <f>H88*(1-0.537709923664122)</f>
        <v>0</v>
      </c>
      <c r="AP88" s="23" t="s">
        <v>7</v>
      </c>
      <c r="AU88" s="28">
        <f>AV88+AW88</f>
        <v>0</v>
      </c>
      <c r="AV88" s="28">
        <f>G88*AN88</f>
        <v>0</v>
      </c>
      <c r="AW88" s="28">
        <f>G88*AO88</f>
        <v>0</v>
      </c>
      <c r="AX88" s="29" t="s">
        <v>584</v>
      </c>
      <c r="AY88" s="29" t="s">
        <v>605</v>
      </c>
      <c r="AZ88" s="24" t="s">
        <v>612</v>
      </c>
      <c r="BB88" s="28">
        <f>AV88+AW88</f>
        <v>0</v>
      </c>
      <c r="BC88" s="28">
        <f>H88/(100-BD88)*100</f>
        <v>0</v>
      </c>
      <c r="BD88" s="28">
        <v>0</v>
      </c>
      <c r="BE88" s="28">
        <f>88</f>
        <v>88</v>
      </c>
      <c r="BG88" s="16">
        <f>G88*AN88</f>
        <v>0</v>
      </c>
      <c r="BH88" s="16">
        <f>G88*AO88</f>
        <v>0</v>
      </c>
      <c r="BI88" s="16">
        <f>G88*H88</f>
        <v>0</v>
      </c>
    </row>
    <row r="89" spans="3:5" ht="12.75">
      <c r="C89" s="155" t="s">
        <v>287</v>
      </c>
      <c r="D89" s="156"/>
      <c r="E89" s="156"/>
    </row>
    <row r="90" spans="3:7" ht="12.75">
      <c r="C90" s="153" t="s">
        <v>288</v>
      </c>
      <c r="D90" s="154"/>
      <c r="E90" s="154"/>
      <c r="G90" s="67">
        <v>4.1</v>
      </c>
    </row>
    <row r="91" spans="1:46" ht="12.75">
      <c r="A91" s="5"/>
      <c r="B91" s="13" t="s">
        <v>69</v>
      </c>
      <c r="C91" s="157" t="s">
        <v>289</v>
      </c>
      <c r="D91" s="158"/>
      <c r="E91" s="158"/>
      <c r="F91" s="5" t="s">
        <v>6</v>
      </c>
      <c r="G91" s="5" t="s">
        <v>6</v>
      </c>
      <c r="H91" s="5" t="s">
        <v>6</v>
      </c>
      <c r="I91" s="31">
        <f>SUM(I92:I99)</f>
        <v>0</v>
      </c>
      <c r="J91" s="31">
        <f>SUM(J92:J99)</f>
        <v>0</v>
      </c>
      <c r="K91" s="31">
        <f>SUM(K92:K99)</f>
        <v>0</v>
      </c>
      <c r="AH91" s="24"/>
      <c r="AR91" s="31">
        <f>SUM(AI92:AI99)</f>
        <v>0</v>
      </c>
      <c r="AS91" s="31">
        <f>SUM(AJ92:AJ99)</f>
        <v>0</v>
      </c>
      <c r="AT91" s="31">
        <f>SUM(AK92:AK99)</f>
        <v>0</v>
      </c>
    </row>
    <row r="92" spans="1:61" ht="12.75">
      <c r="A92" s="4" t="s">
        <v>20</v>
      </c>
      <c r="B92" s="4" t="s">
        <v>116</v>
      </c>
      <c r="C92" s="148" t="s">
        <v>290</v>
      </c>
      <c r="D92" s="149"/>
      <c r="E92" s="149"/>
      <c r="F92" s="4" t="s">
        <v>554</v>
      </c>
      <c r="G92" s="66">
        <v>0.148</v>
      </c>
      <c r="H92" s="16">
        <v>0</v>
      </c>
      <c r="I92" s="16">
        <f>G92*AN92</f>
        <v>0</v>
      </c>
      <c r="J92" s="16">
        <f>G92*AO92</f>
        <v>0</v>
      </c>
      <c r="K92" s="16">
        <f>G92*H92</f>
        <v>0</v>
      </c>
      <c r="Y92" s="28">
        <f>IF(AP92="5",BI92,0)</f>
        <v>0</v>
      </c>
      <c r="AA92" s="28">
        <f>IF(AP92="1",BG92,0)</f>
        <v>0</v>
      </c>
      <c r="AB92" s="28">
        <f>IF(AP92="1",BH92,0)</f>
        <v>0</v>
      </c>
      <c r="AC92" s="28">
        <f>IF(AP92="7",BG92,0)</f>
        <v>0</v>
      </c>
      <c r="AD92" s="28">
        <f>IF(AP92="7",BH92,0)</f>
        <v>0</v>
      </c>
      <c r="AE92" s="28">
        <f>IF(AP92="2",BG92,0)</f>
        <v>0</v>
      </c>
      <c r="AF92" s="28">
        <f>IF(AP92="2",BH92,0)</f>
        <v>0</v>
      </c>
      <c r="AG92" s="28">
        <f>IF(AP92="0",BI92,0)</f>
        <v>0</v>
      </c>
      <c r="AH92" s="24"/>
      <c r="AI92" s="16">
        <f>IF(AM92=0,K92,0)</f>
        <v>0</v>
      </c>
      <c r="AJ92" s="16">
        <f>IF(AM92=15,K92,0)</f>
        <v>0</v>
      </c>
      <c r="AK92" s="16">
        <f>IF(AM92=21,K92,0)</f>
        <v>0</v>
      </c>
      <c r="AM92" s="28">
        <v>21</v>
      </c>
      <c r="AN92" s="28">
        <f>H92*0.473526380368098</f>
        <v>0</v>
      </c>
      <c r="AO92" s="28">
        <f>H92*(1-0.473526380368098)</f>
        <v>0</v>
      </c>
      <c r="AP92" s="23" t="s">
        <v>7</v>
      </c>
      <c r="AU92" s="28">
        <f>AV92+AW92</f>
        <v>0</v>
      </c>
      <c r="AV92" s="28">
        <f>G92*AN92</f>
        <v>0</v>
      </c>
      <c r="AW92" s="28">
        <f>G92*AO92</f>
        <v>0</v>
      </c>
      <c r="AX92" s="29" t="s">
        <v>585</v>
      </c>
      <c r="AY92" s="29" t="s">
        <v>605</v>
      </c>
      <c r="AZ92" s="24" t="s">
        <v>612</v>
      </c>
      <c r="BB92" s="28">
        <f>AV92+AW92</f>
        <v>0</v>
      </c>
      <c r="BC92" s="28">
        <f>H92/(100-BD92)*100</f>
        <v>0</v>
      </c>
      <c r="BD92" s="28">
        <v>0</v>
      </c>
      <c r="BE92" s="28">
        <f>92</f>
        <v>92</v>
      </c>
      <c r="BG92" s="16">
        <f>G92*AN92</f>
        <v>0</v>
      </c>
      <c r="BH92" s="16">
        <f>G92*AO92</f>
        <v>0</v>
      </c>
      <c r="BI92" s="16">
        <f>G92*H92</f>
        <v>0</v>
      </c>
    </row>
    <row r="93" spans="3:7" ht="12.75">
      <c r="C93" s="153" t="s">
        <v>291</v>
      </c>
      <c r="D93" s="154"/>
      <c r="E93" s="154"/>
      <c r="G93" s="67">
        <v>0</v>
      </c>
    </row>
    <row r="94" spans="3:7" ht="12.75">
      <c r="C94" s="153" t="s">
        <v>278</v>
      </c>
      <c r="D94" s="154"/>
      <c r="E94" s="154"/>
      <c r="G94" s="67">
        <v>0</v>
      </c>
    </row>
    <row r="95" spans="3:7" ht="12.75">
      <c r="C95" s="153" t="s">
        <v>292</v>
      </c>
      <c r="D95" s="154"/>
      <c r="E95" s="154"/>
      <c r="G95" s="67">
        <v>0.023</v>
      </c>
    </row>
    <row r="96" spans="3:7" ht="12.75">
      <c r="C96" s="153" t="s">
        <v>293</v>
      </c>
      <c r="D96" s="154"/>
      <c r="E96" s="154"/>
      <c r="G96" s="67">
        <v>0.059</v>
      </c>
    </row>
    <row r="97" spans="3:7" ht="12.75">
      <c r="C97" s="153" t="s">
        <v>294</v>
      </c>
      <c r="D97" s="154"/>
      <c r="E97" s="154"/>
      <c r="G97" s="67">
        <v>0.033</v>
      </c>
    </row>
    <row r="98" spans="3:7" ht="12.75">
      <c r="C98" s="153" t="s">
        <v>294</v>
      </c>
      <c r="D98" s="154"/>
      <c r="E98" s="154"/>
      <c r="G98" s="67">
        <v>0.033</v>
      </c>
    </row>
    <row r="99" spans="1:61" ht="12.75">
      <c r="A99" s="4" t="s">
        <v>21</v>
      </c>
      <c r="B99" s="4" t="s">
        <v>117</v>
      </c>
      <c r="C99" s="148" t="s">
        <v>295</v>
      </c>
      <c r="D99" s="149"/>
      <c r="E99" s="149"/>
      <c r="F99" s="4" t="s">
        <v>554</v>
      </c>
      <c r="G99" s="66">
        <v>0.136</v>
      </c>
      <c r="H99" s="16">
        <v>0</v>
      </c>
      <c r="I99" s="16">
        <f>G99*AN99</f>
        <v>0</v>
      </c>
      <c r="J99" s="16">
        <f>G99*AO99</f>
        <v>0</v>
      </c>
      <c r="K99" s="16">
        <f>G99*H99</f>
        <v>0</v>
      </c>
      <c r="Y99" s="28">
        <f>IF(AP99="5",BI99,0)</f>
        <v>0</v>
      </c>
      <c r="AA99" s="28">
        <f>IF(AP99="1",BG99,0)</f>
        <v>0</v>
      </c>
      <c r="AB99" s="28">
        <f>IF(AP99="1",BH99,0)</f>
        <v>0</v>
      </c>
      <c r="AC99" s="28">
        <f>IF(AP99="7",BG99,0)</f>
        <v>0</v>
      </c>
      <c r="AD99" s="28">
        <f>IF(AP99="7",BH99,0)</f>
        <v>0</v>
      </c>
      <c r="AE99" s="28">
        <f>IF(AP99="2",BG99,0)</f>
        <v>0</v>
      </c>
      <c r="AF99" s="28">
        <f>IF(AP99="2",BH99,0)</f>
        <v>0</v>
      </c>
      <c r="AG99" s="28">
        <f>IF(AP99="0",BI99,0)</f>
        <v>0</v>
      </c>
      <c r="AH99" s="24"/>
      <c r="AI99" s="16">
        <f>IF(AM99=0,K99,0)</f>
        <v>0</v>
      </c>
      <c r="AJ99" s="16">
        <f>IF(AM99=15,K99,0)</f>
        <v>0</v>
      </c>
      <c r="AK99" s="16">
        <f>IF(AM99=21,K99,0)</f>
        <v>0</v>
      </c>
      <c r="AM99" s="28">
        <v>21</v>
      </c>
      <c r="AN99" s="28">
        <f>H99*0.371610835766176</f>
        <v>0</v>
      </c>
      <c r="AO99" s="28">
        <f>H99*(1-0.371610835766176)</f>
        <v>0</v>
      </c>
      <c r="AP99" s="23" t="s">
        <v>7</v>
      </c>
      <c r="AU99" s="28">
        <f>AV99+AW99</f>
        <v>0</v>
      </c>
      <c r="AV99" s="28">
        <f>G99*AN99</f>
        <v>0</v>
      </c>
      <c r="AW99" s="28">
        <f>G99*AO99</f>
        <v>0</v>
      </c>
      <c r="AX99" s="29" t="s">
        <v>585</v>
      </c>
      <c r="AY99" s="29" t="s">
        <v>605</v>
      </c>
      <c r="AZ99" s="24" t="s">
        <v>612</v>
      </c>
      <c r="BB99" s="28">
        <f>AV99+AW99</f>
        <v>0</v>
      </c>
      <c r="BC99" s="28">
        <f>H99/(100-BD99)*100</f>
        <v>0</v>
      </c>
      <c r="BD99" s="28">
        <v>0</v>
      </c>
      <c r="BE99" s="28">
        <f>99</f>
        <v>99</v>
      </c>
      <c r="BG99" s="16">
        <f>G99*AN99</f>
        <v>0</v>
      </c>
      <c r="BH99" s="16">
        <f>G99*AO99</f>
        <v>0</v>
      </c>
      <c r="BI99" s="16">
        <f>G99*H99</f>
        <v>0</v>
      </c>
    </row>
    <row r="100" spans="3:7" ht="12.75">
      <c r="C100" s="153" t="s">
        <v>296</v>
      </c>
      <c r="D100" s="154"/>
      <c r="E100" s="154"/>
      <c r="G100" s="67">
        <v>0</v>
      </c>
    </row>
    <row r="101" spans="3:7" ht="12.75">
      <c r="C101" s="153" t="s">
        <v>278</v>
      </c>
      <c r="D101" s="154"/>
      <c r="E101" s="154"/>
      <c r="G101" s="67">
        <v>0</v>
      </c>
    </row>
    <row r="102" spans="3:7" ht="12.75">
      <c r="C102" s="153" t="s">
        <v>297</v>
      </c>
      <c r="D102" s="154"/>
      <c r="E102" s="154"/>
      <c r="G102" s="67">
        <v>0.053</v>
      </c>
    </row>
    <row r="103" spans="3:7" ht="12.75">
      <c r="C103" s="153" t="s">
        <v>298</v>
      </c>
      <c r="D103" s="154"/>
      <c r="E103" s="154"/>
      <c r="G103" s="67">
        <v>0.039</v>
      </c>
    </row>
    <row r="104" spans="3:7" ht="12.75">
      <c r="C104" s="153" t="s">
        <v>299</v>
      </c>
      <c r="D104" s="154"/>
      <c r="E104" s="154"/>
      <c r="G104" s="67">
        <v>0.044</v>
      </c>
    </row>
    <row r="105" spans="1:46" ht="12.75">
      <c r="A105" s="5"/>
      <c r="B105" s="13" t="s">
        <v>70</v>
      </c>
      <c r="C105" s="157" t="s">
        <v>300</v>
      </c>
      <c r="D105" s="158"/>
      <c r="E105" s="158"/>
      <c r="F105" s="5" t="s">
        <v>6</v>
      </c>
      <c r="G105" s="5" t="s">
        <v>6</v>
      </c>
      <c r="H105" s="5" t="s">
        <v>6</v>
      </c>
      <c r="I105" s="31">
        <f>SUM(I106:I108)</f>
        <v>0</v>
      </c>
      <c r="J105" s="31">
        <f>SUM(J106:J108)</f>
        <v>0</v>
      </c>
      <c r="K105" s="31">
        <f>SUM(K106:K108)</f>
        <v>0</v>
      </c>
      <c r="AH105" s="24"/>
      <c r="AR105" s="31">
        <f>SUM(AI106:AI108)</f>
        <v>0</v>
      </c>
      <c r="AS105" s="31">
        <f>SUM(AJ106:AJ108)</f>
        <v>0</v>
      </c>
      <c r="AT105" s="31">
        <f>SUM(AK106:AK108)</f>
        <v>0</v>
      </c>
    </row>
    <row r="106" spans="1:61" ht="12.75">
      <c r="A106" s="4" t="s">
        <v>22</v>
      </c>
      <c r="B106" s="4" t="s">
        <v>118</v>
      </c>
      <c r="C106" s="148" t="s">
        <v>301</v>
      </c>
      <c r="D106" s="149"/>
      <c r="E106" s="149"/>
      <c r="F106" s="4" t="s">
        <v>553</v>
      </c>
      <c r="G106" s="66">
        <v>2</v>
      </c>
      <c r="H106" s="16">
        <v>0</v>
      </c>
      <c r="I106" s="16">
        <f>G106*AN106</f>
        <v>0</v>
      </c>
      <c r="J106" s="16">
        <f>G106*AO106</f>
        <v>0</v>
      </c>
      <c r="K106" s="16">
        <f>G106*H106</f>
        <v>0</v>
      </c>
      <c r="Y106" s="28">
        <f>IF(AP106="5",BI106,0)</f>
        <v>0</v>
      </c>
      <c r="AA106" s="28">
        <f>IF(AP106="1",BG106,0)</f>
        <v>0</v>
      </c>
      <c r="AB106" s="28">
        <f>IF(AP106="1",BH106,0)</f>
        <v>0</v>
      </c>
      <c r="AC106" s="28">
        <f>IF(AP106="7",BG106,0)</f>
        <v>0</v>
      </c>
      <c r="AD106" s="28">
        <f>IF(AP106="7",BH106,0)</f>
        <v>0</v>
      </c>
      <c r="AE106" s="28">
        <f>IF(AP106="2",BG106,0)</f>
        <v>0</v>
      </c>
      <c r="AF106" s="28">
        <f>IF(AP106="2",BH106,0)</f>
        <v>0</v>
      </c>
      <c r="AG106" s="28">
        <f>IF(AP106="0",BI106,0)</f>
        <v>0</v>
      </c>
      <c r="AH106" s="24"/>
      <c r="AI106" s="16">
        <f>IF(AM106=0,K106,0)</f>
        <v>0</v>
      </c>
      <c r="AJ106" s="16">
        <f>IF(AM106=15,K106,0)</f>
        <v>0</v>
      </c>
      <c r="AK106" s="16">
        <f>IF(AM106=21,K106,0)</f>
        <v>0</v>
      </c>
      <c r="AM106" s="28">
        <v>21</v>
      </c>
      <c r="AN106" s="28">
        <f>H106*0.0970391595033429</f>
        <v>0</v>
      </c>
      <c r="AO106" s="28">
        <f>H106*(1-0.0970391595033429)</f>
        <v>0</v>
      </c>
      <c r="AP106" s="23" t="s">
        <v>7</v>
      </c>
      <c r="AU106" s="28">
        <f>AV106+AW106</f>
        <v>0</v>
      </c>
      <c r="AV106" s="28">
        <f>G106*AN106</f>
        <v>0</v>
      </c>
      <c r="AW106" s="28">
        <f>G106*AO106</f>
        <v>0</v>
      </c>
      <c r="AX106" s="29" t="s">
        <v>586</v>
      </c>
      <c r="AY106" s="29" t="s">
        <v>605</v>
      </c>
      <c r="AZ106" s="24" t="s">
        <v>612</v>
      </c>
      <c r="BB106" s="28">
        <f>AV106+AW106</f>
        <v>0</v>
      </c>
      <c r="BC106" s="28">
        <f>H106/(100-BD106)*100</f>
        <v>0</v>
      </c>
      <c r="BD106" s="28">
        <v>0</v>
      </c>
      <c r="BE106" s="28">
        <f>106</f>
        <v>106</v>
      </c>
      <c r="BG106" s="16">
        <f>G106*AN106</f>
        <v>0</v>
      </c>
      <c r="BH106" s="16">
        <f>G106*AO106</f>
        <v>0</v>
      </c>
      <c r="BI106" s="16">
        <f>G106*H106</f>
        <v>0</v>
      </c>
    </row>
    <row r="107" spans="3:7" ht="12.75">
      <c r="C107" s="153" t="s">
        <v>302</v>
      </c>
      <c r="D107" s="154"/>
      <c r="E107" s="154"/>
      <c r="G107" s="67">
        <v>2</v>
      </c>
    </row>
    <row r="108" spans="1:61" ht="12.75">
      <c r="A108" s="6" t="s">
        <v>23</v>
      </c>
      <c r="B108" s="6" t="s">
        <v>119</v>
      </c>
      <c r="C108" s="161" t="s">
        <v>303</v>
      </c>
      <c r="D108" s="162"/>
      <c r="E108" s="162"/>
      <c r="F108" s="6" t="s">
        <v>553</v>
      </c>
      <c r="G108" s="68">
        <v>2</v>
      </c>
      <c r="H108" s="17">
        <v>0</v>
      </c>
      <c r="I108" s="17">
        <f>G108*AN108</f>
        <v>0</v>
      </c>
      <c r="J108" s="17">
        <f>G108*AO108</f>
        <v>0</v>
      </c>
      <c r="K108" s="17">
        <f>G108*H108</f>
        <v>0</v>
      </c>
      <c r="Y108" s="28">
        <f>IF(AP108="5",BI108,0)</f>
        <v>0</v>
      </c>
      <c r="AA108" s="28">
        <f>IF(AP108="1",BG108,0)</f>
        <v>0</v>
      </c>
      <c r="AB108" s="28">
        <f>IF(AP108="1",BH108,0)</f>
        <v>0</v>
      </c>
      <c r="AC108" s="28">
        <f>IF(AP108="7",BG108,0)</f>
        <v>0</v>
      </c>
      <c r="AD108" s="28">
        <f>IF(AP108="7",BH108,0)</f>
        <v>0</v>
      </c>
      <c r="AE108" s="28">
        <f>IF(AP108="2",BG108,0)</f>
        <v>0</v>
      </c>
      <c r="AF108" s="28">
        <f>IF(AP108="2",BH108,0)</f>
        <v>0</v>
      </c>
      <c r="AG108" s="28">
        <f>IF(AP108="0",BI108,0)</f>
        <v>0</v>
      </c>
      <c r="AH108" s="24"/>
      <c r="AI108" s="17">
        <f>IF(AM108=0,K108,0)</f>
        <v>0</v>
      </c>
      <c r="AJ108" s="17">
        <f>IF(AM108=15,K108,0)</f>
        <v>0</v>
      </c>
      <c r="AK108" s="17">
        <f>IF(AM108=21,K108,0)</f>
        <v>0</v>
      </c>
      <c r="AM108" s="28">
        <v>21</v>
      </c>
      <c r="AN108" s="28">
        <f>H108*1</f>
        <v>0</v>
      </c>
      <c r="AO108" s="28">
        <f>H108*(1-1)</f>
        <v>0</v>
      </c>
      <c r="AP108" s="25" t="s">
        <v>7</v>
      </c>
      <c r="AU108" s="28">
        <f>AV108+AW108</f>
        <v>0</v>
      </c>
      <c r="AV108" s="28">
        <f>G108*AN108</f>
        <v>0</v>
      </c>
      <c r="AW108" s="28">
        <f>G108*AO108</f>
        <v>0</v>
      </c>
      <c r="AX108" s="29" t="s">
        <v>586</v>
      </c>
      <c r="AY108" s="29" t="s">
        <v>605</v>
      </c>
      <c r="AZ108" s="24" t="s">
        <v>612</v>
      </c>
      <c r="BB108" s="28">
        <f>AV108+AW108</f>
        <v>0</v>
      </c>
      <c r="BC108" s="28">
        <f>H108/(100-BD108)*100</f>
        <v>0</v>
      </c>
      <c r="BD108" s="28">
        <v>0</v>
      </c>
      <c r="BE108" s="28">
        <f>108</f>
        <v>108</v>
      </c>
      <c r="BG108" s="17">
        <f>G108*AN108</f>
        <v>0</v>
      </c>
      <c r="BH108" s="17">
        <f>G108*AO108</f>
        <v>0</v>
      </c>
      <c r="BI108" s="17">
        <f>G108*H108</f>
        <v>0</v>
      </c>
    </row>
    <row r="109" spans="3:7" ht="12.75">
      <c r="C109" s="153" t="s">
        <v>304</v>
      </c>
      <c r="D109" s="154"/>
      <c r="E109" s="154"/>
      <c r="G109" s="67">
        <v>2</v>
      </c>
    </row>
    <row r="110" spans="1:46" ht="12.75">
      <c r="A110" s="5"/>
      <c r="B110" s="13" t="s">
        <v>96</v>
      </c>
      <c r="C110" s="157" t="s">
        <v>305</v>
      </c>
      <c r="D110" s="158"/>
      <c r="E110" s="158"/>
      <c r="F110" s="5" t="s">
        <v>6</v>
      </c>
      <c r="G110" s="5" t="s">
        <v>6</v>
      </c>
      <c r="H110" s="5" t="s">
        <v>6</v>
      </c>
      <c r="I110" s="31">
        <f>SUM(I111:I113)</f>
        <v>0</v>
      </c>
      <c r="J110" s="31">
        <f>SUM(J111:J113)</f>
        <v>0</v>
      </c>
      <c r="K110" s="31">
        <f>SUM(K111:K113)</f>
        <v>0</v>
      </c>
      <c r="AH110" s="24"/>
      <c r="AR110" s="31">
        <f>SUM(AI111:AI113)</f>
        <v>0</v>
      </c>
      <c r="AS110" s="31">
        <f>SUM(AJ111:AJ113)</f>
        <v>0</v>
      </c>
      <c r="AT110" s="31">
        <f>SUM(AK111:AK113)</f>
        <v>0</v>
      </c>
    </row>
    <row r="111" spans="1:61" ht="12.75">
      <c r="A111" s="4" t="s">
        <v>24</v>
      </c>
      <c r="B111" s="4" t="s">
        <v>120</v>
      </c>
      <c r="C111" s="148" t="s">
        <v>306</v>
      </c>
      <c r="D111" s="149"/>
      <c r="E111" s="149"/>
      <c r="F111" s="4" t="s">
        <v>555</v>
      </c>
      <c r="G111" s="66">
        <v>5</v>
      </c>
      <c r="H111" s="16">
        <v>0</v>
      </c>
      <c r="I111" s="16">
        <f>G111*AN111</f>
        <v>0</v>
      </c>
      <c r="J111" s="16">
        <f>G111*AO111</f>
        <v>0</v>
      </c>
      <c r="K111" s="16">
        <f>G111*H111</f>
        <v>0</v>
      </c>
      <c r="Y111" s="28">
        <f>IF(AP111="5",BI111,0)</f>
        <v>0</v>
      </c>
      <c r="AA111" s="28">
        <f>IF(AP111="1",BG111,0)</f>
        <v>0</v>
      </c>
      <c r="AB111" s="28">
        <f>IF(AP111="1",BH111,0)</f>
        <v>0</v>
      </c>
      <c r="AC111" s="28">
        <f>IF(AP111="7",BG111,0)</f>
        <v>0</v>
      </c>
      <c r="AD111" s="28">
        <f>IF(AP111="7",BH111,0)</f>
        <v>0</v>
      </c>
      <c r="AE111" s="28">
        <f>IF(AP111="2",BG111,0)</f>
        <v>0</v>
      </c>
      <c r="AF111" s="28">
        <f>IF(AP111="2",BH111,0)</f>
        <v>0</v>
      </c>
      <c r="AG111" s="28">
        <f>IF(AP111="0",BI111,0)</f>
        <v>0</v>
      </c>
      <c r="AH111" s="24"/>
      <c r="AI111" s="16">
        <f>IF(AM111=0,K111,0)</f>
        <v>0</v>
      </c>
      <c r="AJ111" s="16">
        <f>IF(AM111=15,K111,0)</f>
        <v>0</v>
      </c>
      <c r="AK111" s="16">
        <f>IF(AM111=21,K111,0)</f>
        <v>0</v>
      </c>
      <c r="AM111" s="28">
        <v>21</v>
      </c>
      <c r="AN111" s="28">
        <f>H111*0</f>
        <v>0</v>
      </c>
      <c r="AO111" s="28">
        <f>H111*(1-0)</f>
        <v>0</v>
      </c>
      <c r="AP111" s="23" t="s">
        <v>7</v>
      </c>
      <c r="AU111" s="28">
        <f>AV111+AW111</f>
        <v>0</v>
      </c>
      <c r="AV111" s="28">
        <f>G111*AN111</f>
        <v>0</v>
      </c>
      <c r="AW111" s="28">
        <f>G111*AO111</f>
        <v>0</v>
      </c>
      <c r="AX111" s="29" t="s">
        <v>587</v>
      </c>
      <c r="AY111" s="29" t="s">
        <v>606</v>
      </c>
      <c r="AZ111" s="24" t="s">
        <v>612</v>
      </c>
      <c r="BB111" s="28">
        <f>AV111+AW111</f>
        <v>0</v>
      </c>
      <c r="BC111" s="28">
        <f>H111/(100-BD111)*100</f>
        <v>0</v>
      </c>
      <c r="BD111" s="28">
        <v>0</v>
      </c>
      <c r="BE111" s="28">
        <f>111</f>
        <v>111</v>
      </c>
      <c r="BG111" s="16">
        <f>G111*AN111</f>
        <v>0</v>
      </c>
      <c r="BH111" s="16">
        <f>G111*AO111</f>
        <v>0</v>
      </c>
      <c r="BI111" s="16">
        <f>G111*H111</f>
        <v>0</v>
      </c>
    </row>
    <row r="112" spans="3:5" ht="12.75">
      <c r="C112" s="155" t="s">
        <v>307</v>
      </c>
      <c r="D112" s="156"/>
      <c r="E112" s="156"/>
    </row>
    <row r="113" spans="1:61" ht="12.75">
      <c r="A113" s="4" t="s">
        <v>25</v>
      </c>
      <c r="B113" s="4" t="s">
        <v>120</v>
      </c>
      <c r="C113" s="148" t="s">
        <v>308</v>
      </c>
      <c r="D113" s="149"/>
      <c r="E113" s="149"/>
      <c r="F113" s="4" t="s">
        <v>555</v>
      </c>
      <c r="G113" s="66">
        <v>4</v>
      </c>
      <c r="H113" s="16">
        <v>0</v>
      </c>
      <c r="I113" s="16">
        <f>G113*AN113</f>
        <v>0</v>
      </c>
      <c r="J113" s="16">
        <f>G113*AO113</f>
        <v>0</v>
      </c>
      <c r="K113" s="16">
        <f>G113*H113</f>
        <v>0</v>
      </c>
      <c r="Y113" s="28">
        <f>IF(AP113="5",BI113,0)</f>
        <v>0</v>
      </c>
      <c r="AA113" s="28">
        <f>IF(AP113="1",BG113,0)</f>
        <v>0</v>
      </c>
      <c r="AB113" s="28">
        <f>IF(AP113="1",BH113,0)</f>
        <v>0</v>
      </c>
      <c r="AC113" s="28">
        <f>IF(AP113="7",BG113,0)</f>
        <v>0</v>
      </c>
      <c r="AD113" s="28">
        <f>IF(AP113="7",BH113,0)</f>
        <v>0</v>
      </c>
      <c r="AE113" s="28">
        <f>IF(AP113="2",BG113,0)</f>
        <v>0</v>
      </c>
      <c r="AF113" s="28">
        <f>IF(AP113="2",BH113,0)</f>
        <v>0</v>
      </c>
      <c r="AG113" s="28">
        <f>IF(AP113="0",BI113,0)</f>
        <v>0</v>
      </c>
      <c r="AH113" s="24"/>
      <c r="AI113" s="16">
        <f>IF(AM113=0,K113,0)</f>
        <v>0</v>
      </c>
      <c r="AJ113" s="16">
        <f>IF(AM113=15,K113,0)</f>
        <v>0</v>
      </c>
      <c r="AK113" s="16">
        <f>IF(AM113=21,K113,0)</f>
        <v>0</v>
      </c>
      <c r="AM113" s="28">
        <v>21</v>
      </c>
      <c r="AN113" s="28">
        <f>H113*0</f>
        <v>0</v>
      </c>
      <c r="AO113" s="28">
        <f>H113*(1-0)</f>
        <v>0</v>
      </c>
      <c r="AP113" s="23" t="s">
        <v>7</v>
      </c>
      <c r="AU113" s="28">
        <f>AV113+AW113</f>
        <v>0</v>
      </c>
      <c r="AV113" s="28">
        <f>G113*AN113</f>
        <v>0</v>
      </c>
      <c r="AW113" s="28">
        <f>G113*AO113</f>
        <v>0</v>
      </c>
      <c r="AX113" s="29" t="s">
        <v>587</v>
      </c>
      <c r="AY113" s="29" t="s">
        <v>606</v>
      </c>
      <c r="AZ113" s="24" t="s">
        <v>612</v>
      </c>
      <c r="BB113" s="28">
        <f>AV113+AW113</f>
        <v>0</v>
      </c>
      <c r="BC113" s="28">
        <f>H113/(100-BD113)*100</f>
        <v>0</v>
      </c>
      <c r="BD113" s="28">
        <v>0</v>
      </c>
      <c r="BE113" s="28">
        <f>113</f>
        <v>113</v>
      </c>
      <c r="BG113" s="16">
        <f>G113*AN113</f>
        <v>0</v>
      </c>
      <c r="BH113" s="16">
        <f>G113*AO113</f>
        <v>0</v>
      </c>
      <c r="BI113" s="16">
        <f>G113*H113</f>
        <v>0</v>
      </c>
    </row>
    <row r="114" spans="3:7" ht="12.75">
      <c r="C114" s="153" t="s">
        <v>309</v>
      </c>
      <c r="D114" s="154"/>
      <c r="E114" s="154"/>
      <c r="G114" s="67">
        <v>0</v>
      </c>
    </row>
    <row r="115" spans="3:7" ht="12.75">
      <c r="C115" s="153" t="s">
        <v>310</v>
      </c>
      <c r="D115" s="154"/>
      <c r="E115" s="154"/>
      <c r="G115" s="67">
        <v>4</v>
      </c>
    </row>
    <row r="116" spans="1:46" ht="12.75">
      <c r="A116" s="5"/>
      <c r="B116" s="13" t="s">
        <v>100</v>
      </c>
      <c r="C116" s="157" t="s">
        <v>311</v>
      </c>
      <c r="D116" s="158"/>
      <c r="E116" s="158"/>
      <c r="F116" s="5" t="s">
        <v>6</v>
      </c>
      <c r="G116" s="5" t="s">
        <v>6</v>
      </c>
      <c r="H116" s="5" t="s">
        <v>6</v>
      </c>
      <c r="I116" s="31">
        <f>SUM(I117:I117)</f>
        <v>0</v>
      </c>
      <c r="J116" s="31">
        <f>SUM(J117:J117)</f>
        <v>0</v>
      </c>
      <c r="K116" s="31">
        <f>SUM(K117:K117)</f>
        <v>0</v>
      </c>
      <c r="AH116" s="24"/>
      <c r="AR116" s="31">
        <f>SUM(AI117:AI117)</f>
        <v>0</v>
      </c>
      <c r="AS116" s="31">
        <f>SUM(AJ117:AJ117)</f>
        <v>0</v>
      </c>
      <c r="AT116" s="31">
        <f>SUM(AK117:AK117)</f>
        <v>0</v>
      </c>
    </row>
    <row r="117" spans="1:61" ht="12.75">
      <c r="A117" s="4" t="s">
        <v>26</v>
      </c>
      <c r="B117" s="4" t="s">
        <v>121</v>
      </c>
      <c r="C117" s="148" t="s">
        <v>312</v>
      </c>
      <c r="D117" s="149"/>
      <c r="E117" s="149"/>
      <c r="F117" s="4" t="s">
        <v>551</v>
      </c>
      <c r="G117" s="66">
        <v>20</v>
      </c>
      <c r="H117" s="16">
        <v>0</v>
      </c>
      <c r="I117" s="16">
        <f>G117*AN117</f>
        <v>0</v>
      </c>
      <c r="J117" s="16">
        <f>G117*AO117</f>
        <v>0</v>
      </c>
      <c r="K117" s="16">
        <f>G117*H117</f>
        <v>0</v>
      </c>
      <c r="Y117" s="28">
        <f>IF(AP117="5",BI117,0)</f>
        <v>0</v>
      </c>
      <c r="AA117" s="28">
        <f>IF(AP117="1",BG117,0)</f>
        <v>0</v>
      </c>
      <c r="AB117" s="28">
        <f>IF(AP117="1",BH117,0)</f>
        <v>0</v>
      </c>
      <c r="AC117" s="28">
        <f>IF(AP117="7",BG117,0)</f>
        <v>0</v>
      </c>
      <c r="AD117" s="28">
        <f>IF(AP117="7",BH117,0)</f>
        <v>0</v>
      </c>
      <c r="AE117" s="28">
        <f>IF(AP117="2",BG117,0)</f>
        <v>0</v>
      </c>
      <c r="AF117" s="28">
        <f>IF(AP117="2",BH117,0)</f>
        <v>0</v>
      </c>
      <c r="AG117" s="28">
        <f>IF(AP117="0",BI117,0)</f>
        <v>0</v>
      </c>
      <c r="AH117" s="24"/>
      <c r="AI117" s="16">
        <f>IF(AM117=0,K117,0)</f>
        <v>0</v>
      </c>
      <c r="AJ117" s="16">
        <f>IF(AM117=15,K117,0)</f>
        <v>0</v>
      </c>
      <c r="AK117" s="16">
        <f>IF(AM117=21,K117,0)</f>
        <v>0</v>
      </c>
      <c r="AM117" s="28">
        <v>21</v>
      </c>
      <c r="AN117" s="28">
        <f>H117*0.461515151515151</f>
        <v>0</v>
      </c>
      <c r="AO117" s="28">
        <f>H117*(1-0.461515151515151)</f>
        <v>0</v>
      </c>
      <c r="AP117" s="23" t="s">
        <v>7</v>
      </c>
      <c r="AU117" s="28">
        <f>AV117+AW117</f>
        <v>0</v>
      </c>
      <c r="AV117" s="28">
        <f>G117*AN117</f>
        <v>0</v>
      </c>
      <c r="AW117" s="28">
        <f>G117*AO117</f>
        <v>0</v>
      </c>
      <c r="AX117" s="29" t="s">
        <v>588</v>
      </c>
      <c r="AY117" s="29" t="s">
        <v>606</v>
      </c>
      <c r="AZ117" s="24" t="s">
        <v>612</v>
      </c>
      <c r="BB117" s="28">
        <f>AV117+AW117</f>
        <v>0</v>
      </c>
      <c r="BC117" s="28">
        <f>H117/(100-BD117)*100</f>
        <v>0</v>
      </c>
      <c r="BD117" s="28">
        <v>0</v>
      </c>
      <c r="BE117" s="28">
        <f>117</f>
        <v>117</v>
      </c>
      <c r="BG117" s="16">
        <f>G117*AN117</f>
        <v>0</v>
      </c>
      <c r="BH117" s="16">
        <f>G117*AO117</f>
        <v>0</v>
      </c>
      <c r="BI117" s="16">
        <f>G117*H117</f>
        <v>0</v>
      </c>
    </row>
    <row r="118" spans="3:7" ht="12.75">
      <c r="C118" s="153" t="s">
        <v>313</v>
      </c>
      <c r="D118" s="154"/>
      <c r="E118" s="154"/>
      <c r="G118" s="67">
        <v>20</v>
      </c>
    </row>
    <row r="119" spans="1:46" ht="12.75">
      <c r="A119" s="5"/>
      <c r="B119" s="13" t="s">
        <v>122</v>
      </c>
      <c r="C119" s="157" t="s">
        <v>314</v>
      </c>
      <c r="D119" s="158"/>
      <c r="E119" s="158"/>
      <c r="F119" s="5" t="s">
        <v>6</v>
      </c>
      <c r="G119" s="5" t="s">
        <v>6</v>
      </c>
      <c r="H119" s="5" t="s">
        <v>6</v>
      </c>
      <c r="I119" s="31">
        <f>SUM(I120:I147)</f>
        <v>0</v>
      </c>
      <c r="J119" s="31">
        <f>SUM(J120:J147)</f>
        <v>0</v>
      </c>
      <c r="K119" s="31">
        <f>SUM(K120:K147)</f>
        <v>0</v>
      </c>
      <c r="AH119" s="24"/>
      <c r="AR119" s="31">
        <f>SUM(AI120:AI147)</f>
        <v>0</v>
      </c>
      <c r="AS119" s="31">
        <f>SUM(AJ120:AJ147)</f>
        <v>0</v>
      </c>
      <c r="AT119" s="31">
        <f>SUM(AK120:AK147)</f>
        <v>0</v>
      </c>
    </row>
    <row r="120" spans="1:61" ht="12.75">
      <c r="A120" s="4" t="s">
        <v>27</v>
      </c>
      <c r="B120" s="4" t="s">
        <v>123</v>
      </c>
      <c r="C120" s="148" t="s">
        <v>315</v>
      </c>
      <c r="D120" s="149"/>
      <c r="E120" s="149"/>
      <c r="F120" s="4" t="s">
        <v>553</v>
      </c>
      <c r="G120" s="66">
        <v>27</v>
      </c>
      <c r="H120" s="16">
        <v>0</v>
      </c>
      <c r="I120" s="16">
        <f>G120*AN120</f>
        <v>0</v>
      </c>
      <c r="J120" s="16">
        <f>G120*AO120</f>
        <v>0</v>
      </c>
      <c r="K120" s="16">
        <f>G120*H120</f>
        <v>0</v>
      </c>
      <c r="Y120" s="28">
        <f>IF(AP120="5",BI120,0)</f>
        <v>0</v>
      </c>
      <c r="AA120" s="28">
        <f>IF(AP120="1",BG120,0)</f>
        <v>0</v>
      </c>
      <c r="AB120" s="28">
        <f>IF(AP120="1",BH120,0)</f>
        <v>0</v>
      </c>
      <c r="AC120" s="28">
        <f>IF(AP120="7",BG120,0)</f>
        <v>0</v>
      </c>
      <c r="AD120" s="28">
        <f>IF(AP120="7",BH120,0)</f>
        <v>0</v>
      </c>
      <c r="AE120" s="28">
        <f>IF(AP120="2",BG120,0)</f>
        <v>0</v>
      </c>
      <c r="AF120" s="28">
        <f>IF(AP120="2",BH120,0)</f>
        <v>0</v>
      </c>
      <c r="AG120" s="28">
        <f>IF(AP120="0",BI120,0)</f>
        <v>0</v>
      </c>
      <c r="AH120" s="24"/>
      <c r="AI120" s="16">
        <f>IF(AM120=0,K120,0)</f>
        <v>0</v>
      </c>
      <c r="AJ120" s="16">
        <f>IF(AM120=15,K120,0)</f>
        <v>0</v>
      </c>
      <c r="AK120" s="16">
        <f>IF(AM120=21,K120,0)</f>
        <v>0</v>
      </c>
      <c r="AM120" s="28">
        <v>21</v>
      </c>
      <c r="AN120" s="28">
        <f>H120*0.103453442205409</f>
        <v>0</v>
      </c>
      <c r="AO120" s="28">
        <f>H120*(1-0.103453442205409)</f>
        <v>0</v>
      </c>
      <c r="AP120" s="23" t="s">
        <v>7</v>
      </c>
      <c r="AU120" s="28">
        <f>AV120+AW120</f>
        <v>0</v>
      </c>
      <c r="AV120" s="28">
        <f>G120*AN120</f>
        <v>0</v>
      </c>
      <c r="AW120" s="28">
        <f>G120*AO120</f>
        <v>0</v>
      </c>
      <c r="AX120" s="29" t="s">
        <v>589</v>
      </c>
      <c r="AY120" s="29" t="s">
        <v>606</v>
      </c>
      <c r="AZ120" s="24" t="s">
        <v>612</v>
      </c>
      <c r="BB120" s="28">
        <f>AV120+AW120</f>
        <v>0</v>
      </c>
      <c r="BC120" s="28">
        <f>H120/(100-BD120)*100</f>
        <v>0</v>
      </c>
      <c r="BD120" s="28">
        <v>0</v>
      </c>
      <c r="BE120" s="28">
        <f>120</f>
        <v>120</v>
      </c>
      <c r="BG120" s="16">
        <f>G120*AN120</f>
        <v>0</v>
      </c>
      <c r="BH120" s="16">
        <f>G120*AO120</f>
        <v>0</v>
      </c>
      <c r="BI120" s="16">
        <f>G120*H120</f>
        <v>0</v>
      </c>
    </row>
    <row r="121" spans="3:7" ht="12.75">
      <c r="C121" s="153" t="s">
        <v>316</v>
      </c>
      <c r="D121" s="154"/>
      <c r="E121" s="154"/>
      <c r="G121" s="67">
        <v>4</v>
      </c>
    </row>
    <row r="122" spans="3:7" ht="12.75">
      <c r="C122" s="153" t="s">
        <v>317</v>
      </c>
      <c r="D122" s="154"/>
      <c r="E122" s="154"/>
      <c r="G122" s="67">
        <v>4</v>
      </c>
    </row>
    <row r="123" spans="3:7" ht="12.75">
      <c r="C123" s="153" t="s">
        <v>318</v>
      </c>
      <c r="D123" s="154"/>
      <c r="E123" s="154"/>
      <c r="G123" s="67">
        <v>5</v>
      </c>
    </row>
    <row r="124" spans="3:7" ht="12.75">
      <c r="C124" s="153" t="s">
        <v>319</v>
      </c>
      <c r="D124" s="154"/>
      <c r="E124" s="154"/>
      <c r="G124" s="67">
        <v>4</v>
      </c>
    </row>
    <row r="125" spans="3:7" ht="12.75">
      <c r="C125" s="153" t="s">
        <v>320</v>
      </c>
      <c r="D125" s="154"/>
      <c r="E125" s="154"/>
      <c r="G125" s="67">
        <v>1</v>
      </c>
    </row>
    <row r="126" spans="3:7" ht="12.75">
      <c r="C126" s="153" t="s">
        <v>321</v>
      </c>
      <c r="D126" s="154"/>
      <c r="E126" s="154"/>
      <c r="G126" s="67">
        <v>1</v>
      </c>
    </row>
    <row r="127" spans="3:7" ht="12.75">
      <c r="C127" s="153" t="s">
        <v>322</v>
      </c>
      <c r="D127" s="154"/>
      <c r="E127" s="154"/>
      <c r="G127" s="67">
        <v>5</v>
      </c>
    </row>
    <row r="128" spans="3:7" ht="12.75">
      <c r="C128" s="153" t="s">
        <v>323</v>
      </c>
      <c r="D128" s="154"/>
      <c r="E128" s="154"/>
      <c r="G128" s="67">
        <v>2</v>
      </c>
    </row>
    <row r="129" spans="3:7" ht="12.75">
      <c r="C129" s="153" t="s">
        <v>324</v>
      </c>
      <c r="D129" s="154"/>
      <c r="E129" s="154"/>
      <c r="G129" s="67">
        <v>1</v>
      </c>
    </row>
    <row r="130" spans="1:61" ht="12.75">
      <c r="A130" s="6" t="s">
        <v>28</v>
      </c>
      <c r="B130" s="6" t="s">
        <v>124</v>
      </c>
      <c r="C130" s="161" t="s">
        <v>325</v>
      </c>
      <c r="D130" s="162"/>
      <c r="E130" s="162"/>
      <c r="F130" s="6" t="s">
        <v>553</v>
      </c>
      <c r="G130" s="68">
        <v>5</v>
      </c>
      <c r="H130" s="17">
        <v>0</v>
      </c>
      <c r="I130" s="17">
        <f>G130*AN130</f>
        <v>0</v>
      </c>
      <c r="J130" s="17">
        <f>G130*AO130</f>
        <v>0</v>
      </c>
      <c r="K130" s="17">
        <f>G130*H130</f>
        <v>0</v>
      </c>
      <c r="Y130" s="28">
        <f>IF(AP130="5",BI130,0)</f>
        <v>0</v>
      </c>
      <c r="AA130" s="28">
        <f>IF(AP130="1",BG130,0)</f>
        <v>0</v>
      </c>
      <c r="AB130" s="28">
        <f>IF(AP130="1",BH130,0)</f>
        <v>0</v>
      </c>
      <c r="AC130" s="28">
        <f>IF(AP130="7",BG130,0)</f>
        <v>0</v>
      </c>
      <c r="AD130" s="28">
        <f>IF(AP130="7",BH130,0)</f>
        <v>0</v>
      </c>
      <c r="AE130" s="28">
        <f>IF(AP130="2",BG130,0)</f>
        <v>0</v>
      </c>
      <c r="AF130" s="28">
        <f>IF(AP130="2",BH130,0)</f>
        <v>0</v>
      </c>
      <c r="AG130" s="28">
        <f>IF(AP130="0",BI130,0)</f>
        <v>0</v>
      </c>
      <c r="AH130" s="24"/>
      <c r="AI130" s="17">
        <f>IF(AM130=0,K130,0)</f>
        <v>0</v>
      </c>
      <c r="AJ130" s="17">
        <f>IF(AM130=15,K130,0)</f>
        <v>0</v>
      </c>
      <c r="AK130" s="17">
        <f>IF(AM130=21,K130,0)</f>
        <v>0</v>
      </c>
      <c r="AM130" s="28">
        <v>21</v>
      </c>
      <c r="AN130" s="28">
        <f>H130*1</f>
        <v>0</v>
      </c>
      <c r="AO130" s="28">
        <f>H130*(1-1)</f>
        <v>0</v>
      </c>
      <c r="AP130" s="25" t="s">
        <v>7</v>
      </c>
      <c r="AU130" s="28">
        <f>AV130+AW130</f>
        <v>0</v>
      </c>
      <c r="AV130" s="28">
        <f>G130*AN130</f>
        <v>0</v>
      </c>
      <c r="AW130" s="28">
        <f>G130*AO130</f>
        <v>0</v>
      </c>
      <c r="AX130" s="29" t="s">
        <v>589</v>
      </c>
      <c r="AY130" s="29" t="s">
        <v>606</v>
      </c>
      <c r="AZ130" s="24" t="s">
        <v>612</v>
      </c>
      <c r="BB130" s="28">
        <f>AV130+AW130</f>
        <v>0</v>
      </c>
      <c r="BC130" s="28">
        <f>H130/(100-BD130)*100</f>
        <v>0</v>
      </c>
      <c r="BD130" s="28">
        <v>0</v>
      </c>
      <c r="BE130" s="28">
        <f>130</f>
        <v>130</v>
      </c>
      <c r="BG130" s="17">
        <f>G130*AN130</f>
        <v>0</v>
      </c>
      <c r="BH130" s="17">
        <f>G130*AO130</f>
        <v>0</v>
      </c>
      <c r="BI130" s="17">
        <f>G130*H130</f>
        <v>0</v>
      </c>
    </row>
    <row r="131" spans="3:7" ht="12.75">
      <c r="C131" s="153" t="s">
        <v>326</v>
      </c>
      <c r="D131" s="154"/>
      <c r="E131" s="154"/>
      <c r="G131" s="67">
        <v>5</v>
      </c>
    </row>
    <row r="132" spans="1:61" ht="12.75">
      <c r="A132" s="6" t="s">
        <v>29</v>
      </c>
      <c r="B132" s="6" t="s">
        <v>125</v>
      </c>
      <c r="C132" s="161" t="s">
        <v>327</v>
      </c>
      <c r="D132" s="162"/>
      <c r="E132" s="162"/>
      <c r="F132" s="6" t="s">
        <v>553</v>
      </c>
      <c r="G132" s="68">
        <v>4</v>
      </c>
      <c r="H132" s="17">
        <v>0</v>
      </c>
      <c r="I132" s="17">
        <f>G132*AN132</f>
        <v>0</v>
      </c>
      <c r="J132" s="17">
        <f>G132*AO132</f>
        <v>0</v>
      </c>
      <c r="K132" s="17">
        <f>G132*H132</f>
        <v>0</v>
      </c>
      <c r="Y132" s="28">
        <f>IF(AP132="5",BI132,0)</f>
        <v>0</v>
      </c>
      <c r="AA132" s="28">
        <f>IF(AP132="1",BG132,0)</f>
        <v>0</v>
      </c>
      <c r="AB132" s="28">
        <f>IF(AP132="1",BH132,0)</f>
        <v>0</v>
      </c>
      <c r="AC132" s="28">
        <f>IF(AP132="7",BG132,0)</f>
        <v>0</v>
      </c>
      <c r="AD132" s="28">
        <f>IF(AP132="7",BH132,0)</f>
        <v>0</v>
      </c>
      <c r="AE132" s="28">
        <f>IF(AP132="2",BG132,0)</f>
        <v>0</v>
      </c>
      <c r="AF132" s="28">
        <f>IF(AP132="2",BH132,0)</f>
        <v>0</v>
      </c>
      <c r="AG132" s="28">
        <f>IF(AP132="0",BI132,0)</f>
        <v>0</v>
      </c>
      <c r="AH132" s="24"/>
      <c r="AI132" s="17">
        <f>IF(AM132=0,K132,0)</f>
        <v>0</v>
      </c>
      <c r="AJ132" s="17">
        <f>IF(AM132=15,K132,0)</f>
        <v>0</v>
      </c>
      <c r="AK132" s="17">
        <f>IF(AM132=21,K132,0)</f>
        <v>0</v>
      </c>
      <c r="AM132" s="28">
        <v>21</v>
      </c>
      <c r="AN132" s="28">
        <f>H132*1</f>
        <v>0</v>
      </c>
      <c r="AO132" s="28">
        <f>H132*(1-1)</f>
        <v>0</v>
      </c>
      <c r="AP132" s="25" t="s">
        <v>7</v>
      </c>
      <c r="AU132" s="28">
        <f>AV132+AW132</f>
        <v>0</v>
      </c>
      <c r="AV132" s="28">
        <f>G132*AN132</f>
        <v>0</v>
      </c>
      <c r="AW132" s="28">
        <f>G132*AO132</f>
        <v>0</v>
      </c>
      <c r="AX132" s="29" t="s">
        <v>589</v>
      </c>
      <c r="AY132" s="29" t="s">
        <v>606</v>
      </c>
      <c r="AZ132" s="24" t="s">
        <v>612</v>
      </c>
      <c r="BB132" s="28">
        <f>AV132+AW132</f>
        <v>0</v>
      </c>
      <c r="BC132" s="28">
        <f>H132/(100-BD132)*100</f>
        <v>0</v>
      </c>
      <c r="BD132" s="28">
        <v>0</v>
      </c>
      <c r="BE132" s="28">
        <f>132</f>
        <v>132</v>
      </c>
      <c r="BG132" s="17">
        <f>G132*AN132</f>
        <v>0</v>
      </c>
      <c r="BH132" s="17">
        <f>G132*AO132</f>
        <v>0</v>
      </c>
      <c r="BI132" s="17">
        <f>G132*H132</f>
        <v>0</v>
      </c>
    </row>
    <row r="133" spans="3:7" ht="12.75">
      <c r="C133" s="153" t="s">
        <v>328</v>
      </c>
      <c r="D133" s="154"/>
      <c r="E133" s="154"/>
      <c r="G133" s="67">
        <v>4</v>
      </c>
    </row>
    <row r="134" spans="1:61" ht="12.75">
      <c r="A134" s="6" t="s">
        <v>30</v>
      </c>
      <c r="B134" s="6" t="s">
        <v>126</v>
      </c>
      <c r="C134" s="161" t="s">
        <v>329</v>
      </c>
      <c r="D134" s="162"/>
      <c r="E134" s="162"/>
      <c r="F134" s="6" t="s">
        <v>553</v>
      </c>
      <c r="G134" s="68">
        <v>4</v>
      </c>
      <c r="H134" s="17">
        <v>0</v>
      </c>
      <c r="I134" s="17">
        <f>G134*AN134</f>
        <v>0</v>
      </c>
      <c r="J134" s="17">
        <f>G134*AO134</f>
        <v>0</v>
      </c>
      <c r="K134" s="17">
        <f>G134*H134</f>
        <v>0</v>
      </c>
      <c r="Y134" s="28">
        <f>IF(AP134="5",BI134,0)</f>
        <v>0</v>
      </c>
      <c r="AA134" s="28">
        <f>IF(AP134="1",BG134,0)</f>
        <v>0</v>
      </c>
      <c r="AB134" s="28">
        <f>IF(AP134="1",BH134,0)</f>
        <v>0</v>
      </c>
      <c r="AC134" s="28">
        <f>IF(AP134="7",BG134,0)</f>
        <v>0</v>
      </c>
      <c r="AD134" s="28">
        <f>IF(AP134="7",BH134,0)</f>
        <v>0</v>
      </c>
      <c r="AE134" s="28">
        <f>IF(AP134="2",BG134,0)</f>
        <v>0</v>
      </c>
      <c r="AF134" s="28">
        <f>IF(AP134="2",BH134,0)</f>
        <v>0</v>
      </c>
      <c r="AG134" s="28">
        <f>IF(AP134="0",BI134,0)</f>
        <v>0</v>
      </c>
      <c r="AH134" s="24"/>
      <c r="AI134" s="17">
        <f>IF(AM134=0,K134,0)</f>
        <v>0</v>
      </c>
      <c r="AJ134" s="17">
        <f>IF(AM134=15,K134,0)</f>
        <v>0</v>
      </c>
      <c r="AK134" s="17">
        <f>IF(AM134=21,K134,0)</f>
        <v>0</v>
      </c>
      <c r="AM134" s="28">
        <v>21</v>
      </c>
      <c r="AN134" s="28">
        <f>H134*1</f>
        <v>0</v>
      </c>
      <c r="AO134" s="28">
        <f>H134*(1-1)</f>
        <v>0</v>
      </c>
      <c r="AP134" s="25" t="s">
        <v>7</v>
      </c>
      <c r="AU134" s="28">
        <f>AV134+AW134</f>
        <v>0</v>
      </c>
      <c r="AV134" s="28">
        <f>G134*AN134</f>
        <v>0</v>
      </c>
      <c r="AW134" s="28">
        <f>G134*AO134</f>
        <v>0</v>
      </c>
      <c r="AX134" s="29" t="s">
        <v>589</v>
      </c>
      <c r="AY134" s="29" t="s">
        <v>606</v>
      </c>
      <c r="AZ134" s="24" t="s">
        <v>612</v>
      </c>
      <c r="BB134" s="28">
        <f>AV134+AW134</f>
        <v>0</v>
      </c>
      <c r="BC134" s="28">
        <f>H134/(100-BD134)*100</f>
        <v>0</v>
      </c>
      <c r="BD134" s="28">
        <v>0</v>
      </c>
      <c r="BE134" s="28">
        <f>134</f>
        <v>134</v>
      </c>
      <c r="BG134" s="17">
        <f>G134*AN134</f>
        <v>0</v>
      </c>
      <c r="BH134" s="17">
        <f>G134*AO134</f>
        <v>0</v>
      </c>
      <c r="BI134" s="17">
        <f>G134*H134</f>
        <v>0</v>
      </c>
    </row>
    <row r="135" spans="3:7" ht="12.75">
      <c r="C135" s="153" t="s">
        <v>330</v>
      </c>
      <c r="D135" s="154"/>
      <c r="E135" s="154"/>
      <c r="G135" s="67">
        <v>4</v>
      </c>
    </row>
    <row r="136" spans="1:61" ht="12.75">
      <c r="A136" s="6" t="s">
        <v>31</v>
      </c>
      <c r="B136" s="6" t="s">
        <v>127</v>
      </c>
      <c r="C136" s="161" t="s">
        <v>331</v>
      </c>
      <c r="D136" s="162"/>
      <c r="E136" s="162"/>
      <c r="F136" s="6" t="s">
        <v>553</v>
      </c>
      <c r="G136" s="68">
        <v>4</v>
      </c>
      <c r="H136" s="17">
        <v>0</v>
      </c>
      <c r="I136" s="17">
        <f>G136*AN136</f>
        <v>0</v>
      </c>
      <c r="J136" s="17">
        <f>G136*AO136</f>
        <v>0</v>
      </c>
      <c r="K136" s="17">
        <f>G136*H136</f>
        <v>0</v>
      </c>
      <c r="Y136" s="28">
        <f>IF(AP136="5",BI136,0)</f>
        <v>0</v>
      </c>
      <c r="AA136" s="28">
        <f>IF(AP136="1",BG136,0)</f>
        <v>0</v>
      </c>
      <c r="AB136" s="28">
        <f>IF(AP136="1",BH136,0)</f>
        <v>0</v>
      </c>
      <c r="AC136" s="28">
        <f>IF(AP136="7",BG136,0)</f>
        <v>0</v>
      </c>
      <c r="AD136" s="28">
        <f>IF(AP136="7",BH136,0)</f>
        <v>0</v>
      </c>
      <c r="AE136" s="28">
        <f>IF(AP136="2",BG136,0)</f>
        <v>0</v>
      </c>
      <c r="AF136" s="28">
        <f>IF(AP136="2",BH136,0)</f>
        <v>0</v>
      </c>
      <c r="AG136" s="28">
        <f>IF(AP136="0",BI136,0)</f>
        <v>0</v>
      </c>
      <c r="AH136" s="24"/>
      <c r="AI136" s="17">
        <f>IF(AM136=0,K136,0)</f>
        <v>0</v>
      </c>
      <c r="AJ136" s="17">
        <f>IF(AM136=15,K136,0)</f>
        <v>0</v>
      </c>
      <c r="AK136" s="17">
        <f>IF(AM136=21,K136,0)</f>
        <v>0</v>
      </c>
      <c r="AM136" s="28">
        <v>21</v>
      </c>
      <c r="AN136" s="28">
        <f>H136*1</f>
        <v>0</v>
      </c>
      <c r="AO136" s="28">
        <f>H136*(1-1)</f>
        <v>0</v>
      </c>
      <c r="AP136" s="25" t="s">
        <v>7</v>
      </c>
      <c r="AU136" s="28">
        <f>AV136+AW136</f>
        <v>0</v>
      </c>
      <c r="AV136" s="28">
        <f>G136*AN136</f>
        <v>0</v>
      </c>
      <c r="AW136" s="28">
        <f>G136*AO136</f>
        <v>0</v>
      </c>
      <c r="AX136" s="29" t="s">
        <v>589</v>
      </c>
      <c r="AY136" s="29" t="s">
        <v>606</v>
      </c>
      <c r="AZ136" s="24" t="s">
        <v>612</v>
      </c>
      <c r="BB136" s="28">
        <f>AV136+AW136</f>
        <v>0</v>
      </c>
      <c r="BC136" s="28">
        <f>H136/(100-BD136)*100</f>
        <v>0</v>
      </c>
      <c r="BD136" s="28">
        <v>0</v>
      </c>
      <c r="BE136" s="28">
        <f>136</f>
        <v>136</v>
      </c>
      <c r="BG136" s="17">
        <f>G136*AN136</f>
        <v>0</v>
      </c>
      <c r="BH136" s="17">
        <f>G136*AO136</f>
        <v>0</v>
      </c>
      <c r="BI136" s="17">
        <f>G136*H136</f>
        <v>0</v>
      </c>
    </row>
    <row r="137" spans="3:7" ht="12.75">
      <c r="C137" s="153" t="s">
        <v>330</v>
      </c>
      <c r="D137" s="154"/>
      <c r="E137" s="154"/>
      <c r="G137" s="67">
        <v>4</v>
      </c>
    </row>
    <row r="138" spans="1:61" ht="12.75">
      <c r="A138" s="6" t="s">
        <v>32</v>
      </c>
      <c r="B138" s="6" t="s">
        <v>128</v>
      </c>
      <c r="C138" s="161" t="s">
        <v>332</v>
      </c>
      <c r="D138" s="162"/>
      <c r="E138" s="162"/>
      <c r="F138" s="6" t="s">
        <v>553</v>
      </c>
      <c r="G138" s="68">
        <v>1</v>
      </c>
      <c r="H138" s="17">
        <v>0</v>
      </c>
      <c r="I138" s="17">
        <f>G138*AN138</f>
        <v>0</v>
      </c>
      <c r="J138" s="17">
        <f>G138*AO138</f>
        <v>0</v>
      </c>
      <c r="K138" s="17">
        <f>G138*H138</f>
        <v>0</v>
      </c>
      <c r="Y138" s="28">
        <f>IF(AP138="5",BI138,0)</f>
        <v>0</v>
      </c>
      <c r="AA138" s="28">
        <f>IF(AP138="1",BG138,0)</f>
        <v>0</v>
      </c>
      <c r="AB138" s="28">
        <f>IF(AP138="1",BH138,0)</f>
        <v>0</v>
      </c>
      <c r="AC138" s="28">
        <f>IF(AP138="7",BG138,0)</f>
        <v>0</v>
      </c>
      <c r="AD138" s="28">
        <f>IF(AP138="7",BH138,0)</f>
        <v>0</v>
      </c>
      <c r="AE138" s="28">
        <f>IF(AP138="2",BG138,0)</f>
        <v>0</v>
      </c>
      <c r="AF138" s="28">
        <f>IF(AP138="2",BH138,0)</f>
        <v>0</v>
      </c>
      <c r="AG138" s="28">
        <f>IF(AP138="0",BI138,0)</f>
        <v>0</v>
      </c>
      <c r="AH138" s="24"/>
      <c r="AI138" s="17">
        <f>IF(AM138=0,K138,0)</f>
        <v>0</v>
      </c>
      <c r="AJ138" s="17">
        <f>IF(AM138=15,K138,0)</f>
        <v>0</v>
      </c>
      <c r="AK138" s="17">
        <f>IF(AM138=21,K138,0)</f>
        <v>0</v>
      </c>
      <c r="AM138" s="28">
        <v>21</v>
      </c>
      <c r="AN138" s="28">
        <f>H138*1</f>
        <v>0</v>
      </c>
      <c r="AO138" s="28">
        <f>H138*(1-1)</f>
        <v>0</v>
      </c>
      <c r="AP138" s="25" t="s">
        <v>7</v>
      </c>
      <c r="AU138" s="28">
        <f>AV138+AW138</f>
        <v>0</v>
      </c>
      <c r="AV138" s="28">
        <f>G138*AN138</f>
        <v>0</v>
      </c>
      <c r="AW138" s="28">
        <f>G138*AO138</f>
        <v>0</v>
      </c>
      <c r="AX138" s="29" t="s">
        <v>589</v>
      </c>
      <c r="AY138" s="29" t="s">
        <v>606</v>
      </c>
      <c r="AZ138" s="24" t="s">
        <v>612</v>
      </c>
      <c r="BB138" s="28">
        <f>AV138+AW138</f>
        <v>0</v>
      </c>
      <c r="BC138" s="28">
        <f>H138/(100-BD138)*100</f>
        <v>0</v>
      </c>
      <c r="BD138" s="28">
        <v>0</v>
      </c>
      <c r="BE138" s="28">
        <f>138</f>
        <v>138</v>
      </c>
      <c r="BG138" s="17">
        <f>G138*AN138</f>
        <v>0</v>
      </c>
      <c r="BH138" s="17">
        <f>G138*AO138</f>
        <v>0</v>
      </c>
      <c r="BI138" s="17">
        <f>G138*H138</f>
        <v>0</v>
      </c>
    </row>
    <row r="139" spans="3:7" ht="12.75">
      <c r="C139" s="153" t="s">
        <v>333</v>
      </c>
      <c r="D139" s="154"/>
      <c r="E139" s="154"/>
      <c r="G139" s="67">
        <v>1</v>
      </c>
    </row>
    <row r="140" spans="1:61" ht="12.75">
      <c r="A140" s="6" t="s">
        <v>33</v>
      </c>
      <c r="B140" s="6" t="s">
        <v>129</v>
      </c>
      <c r="C140" s="161" t="s">
        <v>334</v>
      </c>
      <c r="D140" s="162"/>
      <c r="E140" s="162"/>
      <c r="F140" s="6" t="s">
        <v>553</v>
      </c>
      <c r="G140" s="68">
        <v>1</v>
      </c>
      <c r="H140" s="17">
        <v>0</v>
      </c>
      <c r="I140" s="17">
        <f>G140*AN140</f>
        <v>0</v>
      </c>
      <c r="J140" s="17">
        <f>G140*AO140</f>
        <v>0</v>
      </c>
      <c r="K140" s="17">
        <f>G140*H140</f>
        <v>0</v>
      </c>
      <c r="Y140" s="28">
        <f>IF(AP140="5",BI140,0)</f>
        <v>0</v>
      </c>
      <c r="AA140" s="28">
        <f>IF(AP140="1",BG140,0)</f>
        <v>0</v>
      </c>
      <c r="AB140" s="28">
        <f>IF(AP140="1",BH140,0)</f>
        <v>0</v>
      </c>
      <c r="AC140" s="28">
        <f>IF(AP140="7",BG140,0)</f>
        <v>0</v>
      </c>
      <c r="AD140" s="28">
        <f>IF(AP140="7",BH140,0)</f>
        <v>0</v>
      </c>
      <c r="AE140" s="28">
        <f>IF(AP140="2",BG140,0)</f>
        <v>0</v>
      </c>
      <c r="AF140" s="28">
        <f>IF(AP140="2",BH140,0)</f>
        <v>0</v>
      </c>
      <c r="AG140" s="28">
        <f>IF(AP140="0",BI140,0)</f>
        <v>0</v>
      </c>
      <c r="AH140" s="24"/>
      <c r="AI140" s="17">
        <f>IF(AM140=0,K140,0)</f>
        <v>0</v>
      </c>
      <c r="AJ140" s="17">
        <f>IF(AM140=15,K140,0)</f>
        <v>0</v>
      </c>
      <c r="AK140" s="17">
        <f>IF(AM140=21,K140,0)</f>
        <v>0</v>
      </c>
      <c r="AM140" s="28">
        <v>21</v>
      </c>
      <c r="AN140" s="28">
        <f>H140*1</f>
        <v>0</v>
      </c>
      <c r="AO140" s="28">
        <f>H140*(1-1)</f>
        <v>0</v>
      </c>
      <c r="AP140" s="25" t="s">
        <v>7</v>
      </c>
      <c r="AU140" s="28">
        <f>AV140+AW140</f>
        <v>0</v>
      </c>
      <c r="AV140" s="28">
        <f>G140*AN140</f>
        <v>0</v>
      </c>
      <c r="AW140" s="28">
        <f>G140*AO140</f>
        <v>0</v>
      </c>
      <c r="AX140" s="29" t="s">
        <v>589</v>
      </c>
      <c r="AY140" s="29" t="s">
        <v>606</v>
      </c>
      <c r="AZ140" s="24" t="s">
        <v>612</v>
      </c>
      <c r="BB140" s="28">
        <f>AV140+AW140</f>
        <v>0</v>
      </c>
      <c r="BC140" s="28">
        <f>H140/(100-BD140)*100</f>
        <v>0</v>
      </c>
      <c r="BD140" s="28">
        <v>0</v>
      </c>
      <c r="BE140" s="28">
        <f>140</f>
        <v>140</v>
      </c>
      <c r="BG140" s="17">
        <f>G140*AN140</f>
        <v>0</v>
      </c>
      <c r="BH140" s="17">
        <f>G140*AO140</f>
        <v>0</v>
      </c>
      <c r="BI140" s="17">
        <f>G140*H140</f>
        <v>0</v>
      </c>
    </row>
    <row r="141" spans="3:7" ht="12.75">
      <c r="C141" s="153" t="s">
        <v>333</v>
      </c>
      <c r="D141" s="154"/>
      <c r="E141" s="154"/>
      <c r="G141" s="67">
        <v>1</v>
      </c>
    </row>
    <row r="142" spans="1:61" ht="12.75">
      <c r="A142" s="6" t="s">
        <v>34</v>
      </c>
      <c r="B142" s="6" t="s">
        <v>130</v>
      </c>
      <c r="C142" s="161" t="s">
        <v>335</v>
      </c>
      <c r="D142" s="162"/>
      <c r="E142" s="162"/>
      <c r="F142" s="6" t="s">
        <v>553</v>
      </c>
      <c r="G142" s="68">
        <v>5</v>
      </c>
      <c r="H142" s="17">
        <v>0</v>
      </c>
      <c r="I142" s="17">
        <f>G142*AN142</f>
        <v>0</v>
      </c>
      <c r="J142" s="17">
        <f>G142*AO142</f>
        <v>0</v>
      </c>
      <c r="K142" s="17">
        <f>G142*H142</f>
        <v>0</v>
      </c>
      <c r="Y142" s="28">
        <f>IF(AP142="5",BI142,0)</f>
        <v>0</v>
      </c>
      <c r="AA142" s="28">
        <f>IF(AP142="1",BG142,0)</f>
        <v>0</v>
      </c>
      <c r="AB142" s="28">
        <f>IF(AP142="1",BH142,0)</f>
        <v>0</v>
      </c>
      <c r="AC142" s="28">
        <f>IF(AP142="7",BG142,0)</f>
        <v>0</v>
      </c>
      <c r="AD142" s="28">
        <f>IF(AP142="7",BH142,0)</f>
        <v>0</v>
      </c>
      <c r="AE142" s="28">
        <f>IF(AP142="2",BG142,0)</f>
        <v>0</v>
      </c>
      <c r="AF142" s="28">
        <f>IF(AP142="2",BH142,0)</f>
        <v>0</v>
      </c>
      <c r="AG142" s="28">
        <f>IF(AP142="0",BI142,0)</f>
        <v>0</v>
      </c>
      <c r="AH142" s="24"/>
      <c r="AI142" s="17">
        <f>IF(AM142=0,K142,0)</f>
        <v>0</v>
      </c>
      <c r="AJ142" s="17">
        <f>IF(AM142=15,K142,0)</f>
        <v>0</v>
      </c>
      <c r="AK142" s="17">
        <f>IF(AM142=21,K142,0)</f>
        <v>0</v>
      </c>
      <c r="AM142" s="28">
        <v>21</v>
      </c>
      <c r="AN142" s="28">
        <f>H142*1</f>
        <v>0</v>
      </c>
      <c r="AO142" s="28">
        <f>H142*(1-1)</f>
        <v>0</v>
      </c>
      <c r="AP142" s="25" t="s">
        <v>7</v>
      </c>
      <c r="AU142" s="28">
        <f>AV142+AW142</f>
        <v>0</v>
      </c>
      <c r="AV142" s="28">
        <f>G142*AN142</f>
        <v>0</v>
      </c>
      <c r="AW142" s="28">
        <f>G142*AO142</f>
        <v>0</v>
      </c>
      <c r="AX142" s="29" t="s">
        <v>589</v>
      </c>
      <c r="AY142" s="29" t="s">
        <v>606</v>
      </c>
      <c r="AZ142" s="24" t="s">
        <v>612</v>
      </c>
      <c r="BB142" s="28">
        <f>AV142+AW142</f>
        <v>0</v>
      </c>
      <c r="BC142" s="28">
        <f>H142/(100-BD142)*100</f>
        <v>0</v>
      </c>
      <c r="BD142" s="28">
        <v>0</v>
      </c>
      <c r="BE142" s="28">
        <f>142</f>
        <v>142</v>
      </c>
      <c r="BG142" s="17">
        <f>G142*AN142</f>
        <v>0</v>
      </c>
      <c r="BH142" s="17">
        <f>G142*AO142</f>
        <v>0</v>
      </c>
      <c r="BI142" s="17">
        <f>G142*H142</f>
        <v>0</v>
      </c>
    </row>
    <row r="143" spans="3:7" ht="12.75">
      <c r="C143" s="153" t="s">
        <v>326</v>
      </c>
      <c r="D143" s="154"/>
      <c r="E143" s="154"/>
      <c r="G143" s="67">
        <v>5</v>
      </c>
    </row>
    <row r="144" spans="1:61" ht="12.75">
      <c r="A144" s="6" t="s">
        <v>35</v>
      </c>
      <c r="B144" s="6" t="s">
        <v>131</v>
      </c>
      <c r="C144" s="161" t="s">
        <v>336</v>
      </c>
      <c r="D144" s="162"/>
      <c r="E144" s="162"/>
      <c r="F144" s="6" t="s">
        <v>553</v>
      </c>
      <c r="G144" s="68">
        <v>2</v>
      </c>
      <c r="H144" s="17">
        <v>0</v>
      </c>
      <c r="I144" s="17">
        <f>G144*AN144</f>
        <v>0</v>
      </c>
      <c r="J144" s="17">
        <f>G144*AO144</f>
        <v>0</v>
      </c>
      <c r="K144" s="17">
        <f>G144*H144</f>
        <v>0</v>
      </c>
      <c r="Y144" s="28">
        <f>IF(AP144="5",BI144,0)</f>
        <v>0</v>
      </c>
      <c r="AA144" s="28">
        <f>IF(AP144="1",BG144,0)</f>
        <v>0</v>
      </c>
      <c r="AB144" s="28">
        <f>IF(AP144="1",BH144,0)</f>
        <v>0</v>
      </c>
      <c r="AC144" s="28">
        <f>IF(AP144="7",BG144,0)</f>
        <v>0</v>
      </c>
      <c r="AD144" s="28">
        <f>IF(AP144="7",BH144,0)</f>
        <v>0</v>
      </c>
      <c r="AE144" s="28">
        <f>IF(AP144="2",BG144,0)</f>
        <v>0</v>
      </c>
      <c r="AF144" s="28">
        <f>IF(AP144="2",BH144,0)</f>
        <v>0</v>
      </c>
      <c r="AG144" s="28">
        <f>IF(AP144="0",BI144,0)</f>
        <v>0</v>
      </c>
      <c r="AH144" s="24"/>
      <c r="AI144" s="17">
        <f>IF(AM144=0,K144,0)</f>
        <v>0</v>
      </c>
      <c r="AJ144" s="17">
        <f>IF(AM144=15,K144,0)</f>
        <v>0</v>
      </c>
      <c r="AK144" s="17">
        <f>IF(AM144=21,K144,0)</f>
        <v>0</v>
      </c>
      <c r="AM144" s="28">
        <v>21</v>
      </c>
      <c r="AN144" s="28">
        <f>H144*1</f>
        <v>0</v>
      </c>
      <c r="AO144" s="28">
        <f>H144*(1-1)</f>
        <v>0</v>
      </c>
      <c r="AP144" s="25" t="s">
        <v>7</v>
      </c>
      <c r="AU144" s="28">
        <f>AV144+AW144</f>
        <v>0</v>
      </c>
      <c r="AV144" s="28">
        <f>G144*AN144</f>
        <v>0</v>
      </c>
      <c r="AW144" s="28">
        <f>G144*AO144</f>
        <v>0</v>
      </c>
      <c r="AX144" s="29" t="s">
        <v>589</v>
      </c>
      <c r="AY144" s="29" t="s">
        <v>606</v>
      </c>
      <c r="AZ144" s="24" t="s">
        <v>612</v>
      </c>
      <c r="BB144" s="28">
        <f>AV144+AW144</f>
        <v>0</v>
      </c>
      <c r="BC144" s="28">
        <f>H144/(100-BD144)*100</f>
        <v>0</v>
      </c>
      <c r="BD144" s="28">
        <v>0</v>
      </c>
      <c r="BE144" s="28">
        <f>144</f>
        <v>144</v>
      </c>
      <c r="BG144" s="17">
        <f>G144*AN144</f>
        <v>0</v>
      </c>
      <c r="BH144" s="17">
        <f>G144*AO144</f>
        <v>0</v>
      </c>
      <c r="BI144" s="17">
        <f>G144*H144</f>
        <v>0</v>
      </c>
    </row>
    <row r="145" spans="3:7" ht="12.75">
      <c r="C145" s="153" t="s">
        <v>337</v>
      </c>
      <c r="D145" s="154"/>
      <c r="E145" s="154"/>
      <c r="G145" s="67">
        <v>2</v>
      </c>
    </row>
    <row r="146" spans="1:61" ht="12.75">
      <c r="A146" s="6" t="s">
        <v>36</v>
      </c>
      <c r="B146" s="6" t="s">
        <v>132</v>
      </c>
      <c r="C146" s="161" t="s">
        <v>338</v>
      </c>
      <c r="D146" s="162"/>
      <c r="E146" s="162"/>
      <c r="F146" s="6" t="s">
        <v>553</v>
      </c>
      <c r="G146" s="68">
        <v>1</v>
      </c>
      <c r="H146" s="17">
        <v>0</v>
      </c>
      <c r="I146" s="17">
        <f>G146*AN146</f>
        <v>0</v>
      </c>
      <c r="J146" s="17">
        <f>G146*AO146</f>
        <v>0</v>
      </c>
      <c r="K146" s="17">
        <f>G146*H146</f>
        <v>0</v>
      </c>
      <c r="Y146" s="28">
        <f>IF(AP146="5",BI146,0)</f>
        <v>0</v>
      </c>
      <c r="AA146" s="28">
        <f>IF(AP146="1",BG146,0)</f>
        <v>0</v>
      </c>
      <c r="AB146" s="28">
        <f>IF(AP146="1",BH146,0)</f>
        <v>0</v>
      </c>
      <c r="AC146" s="28">
        <f>IF(AP146="7",BG146,0)</f>
        <v>0</v>
      </c>
      <c r="AD146" s="28">
        <f>IF(AP146="7",BH146,0)</f>
        <v>0</v>
      </c>
      <c r="AE146" s="28">
        <f>IF(AP146="2",BG146,0)</f>
        <v>0</v>
      </c>
      <c r="AF146" s="28">
        <f>IF(AP146="2",BH146,0)</f>
        <v>0</v>
      </c>
      <c r="AG146" s="28">
        <f>IF(AP146="0",BI146,0)</f>
        <v>0</v>
      </c>
      <c r="AH146" s="24"/>
      <c r="AI146" s="17">
        <f>IF(AM146=0,K146,0)</f>
        <v>0</v>
      </c>
      <c r="AJ146" s="17">
        <f>IF(AM146=15,K146,0)</f>
        <v>0</v>
      </c>
      <c r="AK146" s="17">
        <f>IF(AM146=21,K146,0)</f>
        <v>0</v>
      </c>
      <c r="AM146" s="28">
        <v>21</v>
      </c>
      <c r="AN146" s="28">
        <f>H146*1</f>
        <v>0</v>
      </c>
      <c r="AO146" s="28">
        <f>H146*(1-1)</f>
        <v>0</v>
      </c>
      <c r="AP146" s="25" t="s">
        <v>7</v>
      </c>
      <c r="AU146" s="28">
        <f>AV146+AW146</f>
        <v>0</v>
      </c>
      <c r="AV146" s="28">
        <f>G146*AN146</f>
        <v>0</v>
      </c>
      <c r="AW146" s="28">
        <f>G146*AO146</f>
        <v>0</v>
      </c>
      <c r="AX146" s="29" t="s">
        <v>589</v>
      </c>
      <c r="AY146" s="29" t="s">
        <v>606</v>
      </c>
      <c r="AZ146" s="24" t="s">
        <v>612</v>
      </c>
      <c r="BB146" s="28">
        <f>AV146+AW146</f>
        <v>0</v>
      </c>
      <c r="BC146" s="28">
        <f>H146/(100-BD146)*100</f>
        <v>0</v>
      </c>
      <c r="BD146" s="28">
        <v>0</v>
      </c>
      <c r="BE146" s="28">
        <f>146</f>
        <v>146</v>
      </c>
      <c r="BG146" s="17">
        <f>G146*AN146</f>
        <v>0</v>
      </c>
      <c r="BH146" s="17">
        <f>G146*AO146</f>
        <v>0</v>
      </c>
      <c r="BI146" s="17">
        <f>G146*H146</f>
        <v>0</v>
      </c>
    </row>
    <row r="147" spans="1:61" ht="12.75">
      <c r="A147" s="4" t="s">
        <v>37</v>
      </c>
      <c r="B147" s="4" t="s">
        <v>133</v>
      </c>
      <c r="C147" s="148" t="s">
        <v>339</v>
      </c>
      <c r="D147" s="149"/>
      <c r="E147" s="149"/>
      <c r="F147" s="4" t="s">
        <v>551</v>
      </c>
      <c r="G147" s="66">
        <v>55</v>
      </c>
      <c r="H147" s="16">
        <v>0</v>
      </c>
      <c r="I147" s="16">
        <f>G147*AN147</f>
        <v>0</v>
      </c>
      <c r="J147" s="16">
        <f>G147*AO147</f>
        <v>0</v>
      </c>
      <c r="K147" s="16">
        <f>G147*H147</f>
        <v>0</v>
      </c>
      <c r="Y147" s="28">
        <f>IF(AP147="5",BI147,0)</f>
        <v>0</v>
      </c>
      <c r="AA147" s="28">
        <f>IF(AP147="1",BG147,0)</f>
        <v>0</v>
      </c>
      <c r="AB147" s="28">
        <f>IF(AP147="1",BH147,0)</f>
        <v>0</v>
      </c>
      <c r="AC147" s="28">
        <f>IF(AP147="7",BG147,0)</f>
        <v>0</v>
      </c>
      <c r="AD147" s="28">
        <f>IF(AP147="7",BH147,0)</f>
        <v>0</v>
      </c>
      <c r="AE147" s="28">
        <f>IF(AP147="2",BG147,0)</f>
        <v>0</v>
      </c>
      <c r="AF147" s="28">
        <f>IF(AP147="2",BH147,0)</f>
        <v>0</v>
      </c>
      <c r="AG147" s="28">
        <f>IF(AP147="0",BI147,0)</f>
        <v>0</v>
      </c>
      <c r="AH147" s="24"/>
      <c r="AI147" s="16">
        <f>IF(AM147=0,K147,0)</f>
        <v>0</v>
      </c>
      <c r="AJ147" s="16">
        <f>IF(AM147=15,K147,0)</f>
        <v>0</v>
      </c>
      <c r="AK147" s="16">
        <f>IF(AM147=21,K147,0)</f>
        <v>0</v>
      </c>
      <c r="AM147" s="28">
        <v>21</v>
      </c>
      <c r="AN147" s="28">
        <f>H147*0.0126097921558396</f>
        <v>0</v>
      </c>
      <c r="AO147" s="28">
        <f>H147*(1-0.0126097921558396)</f>
        <v>0</v>
      </c>
      <c r="AP147" s="23" t="s">
        <v>7</v>
      </c>
      <c r="AU147" s="28">
        <f>AV147+AW147</f>
        <v>0</v>
      </c>
      <c r="AV147" s="28">
        <f>G147*AN147</f>
        <v>0</v>
      </c>
      <c r="AW147" s="28">
        <f>G147*AO147</f>
        <v>0</v>
      </c>
      <c r="AX147" s="29" t="s">
        <v>589</v>
      </c>
      <c r="AY147" s="29" t="s">
        <v>606</v>
      </c>
      <c r="AZ147" s="24" t="s">
        <v>612</v>
      </c>
      <c r="BB147" s="28">
        <f>AV147+AW147</f>
        <v>0</v>
      </c>
      <c r="BC147" s="28">
        <f>H147/(100-BD147)*100</f>
        <v>0</v>
      </c>
      <c r="BD147" s="28">
        <v>0</v>
      </c>
      <c r="BE147" s="28">
        <f>147</f>
        <v>147</v>
      </c>
      <c r="BG147" s="16">
        <f>G147*AN147</f>
        <v>0</v>
      </c>
      <c r="BH147" s="16">
        <f>G147*AO147</f>
        <v>0</v>
      </c>
      <c r="BI147" s="16">
        <f>G147*H147</f>
        <v>0</v>
      </c>
    </row>
    <row r="148" spans="3:7" ht="12.75">
      <c r="C148" s="153" t="s">
        <v>340</v>
      </c>
      <c r="D148" s="154"/>
      <c r="E148" s="154"/>
      <c r="G148" s="67">
        <v>0</v>
      </c>
    </row>
    <row r="149" spans="3:7" ht="12.75">
      <c r="C149" s="153" t="s">
        <v>341</v>
      </c>
      <c r="D149" s="154"/>
      <c r="E149" s="154"/>
      <c r="G149" s="67">
        <v>15</v>
      </c>
    </row>
    <row r="150" spans="3:7" ht="12.75">
      <c r="C150" s="153" t="s">
        <v>342</v>
      </c>
      <c r="D150" s="154"/>
      <c r="E150" s="154"/>
      <c r="G150" s="67">
        <v>35</v>
      </c>
    </row>
    <row r="151" spans="3:7" ht="12.75">
      <c r="C151" s="153" t="s">
        <v>343</v>
      </c>
      <c r="D151" s="154"/>
      <c r="E151" s="154"/>
      <c r="G151" s="67">
        <v>5</v>
      </c>
    </row>
    <row r="152" spans="1:46" ht="12.75">
      <c r="A152" s="5"/>
      <c r="B152" s="13" t="s">
        <v>134</v>
      </c>
      <c r="C152" s="157" t="s">
        <v>344</v>
      </c>
      <c r="D152" s="158"/>
      <c r="E152" s="158"/>
      <c r="F152" s="5" t="s">
        <v>6</v>
      </c>
      <c r="G152" s="5" t="s">
        <v>6</v>
      </c>
      <c r="H152" s="5" t="s">
        <v>6</v>
      </c>
      <c r="I152" s="31">
        <f>SUM(I153:I186)</f>
        <v>0</v>
      </c>
      <c r="J152" s="31">
        <f>SUM(J153:J186)</f>
        <v>0</v>
      </c>
      <c r="K152" s="31">
        <f>SUM(K153:K186)</f>
        <v>0</v>
      </c>
      <c r="AH152" s="24"/>
      <c r="AR152" s="31">
        <f>SUM(AI153:AI186)</f>
        <v>0</v>
      </c>
      <c r="AS152" s="31">
        <f>SUM(AJ153:AJ186)</f>
        <v>0</v>
      </c>
      <c r="AT152" s="31">
        <f>SUM(AK153:AK186)</f>
        <v>0</v>
      </c>
    </row>
    <row r="153" spans="1:61" ht="12.75">
      <c r="A153" s="4" t="s">
        <v>38</v>
      </c>
      <c r="B153" s="4" t="s">
        <v>135</v>
      </c>
      <c r="C153" s="148" t="s">
        <v>345</v>
      </c>
      <c r="D153" s="149"/>
      <c r="E153" s="149"/>
      <c r="F153" s="4" t="s">
        <v>551</v>
      </c>
      <c r="G153" s="66">
        <v>18.494</v>
      </c>
      <c r="H153" s="16">
        <v>0</v>
      </c>
      <c r="I153" s="16">
        <f>G153*AN153</f>
        <v>0</v>
      </c>
      <c r="J153" s="16">
        <f>G153*AO153</f>
        <v>0</v>
      </c>
      <c r="K153" s="16">
        <f>G153*H153</f>
        <v>0</v>
      </c>
      <c r="Y153" s="28">
        <f>IF(AP153="5",BI153,0)</f>
        <v>0</v>
      </c>
      <c r="AA153" s="28">
        <f>IF(AP153="1",BG153,0)</f>
        <v>0</v>
      </c>
      <c r="AB153" s="28">
        <f>IF(AP153="1",BH153,0)</f>
        <v>0</v>
      </c>
      <c r="AC153" s="28">
        <f>IF(AP153="7",BG153,0)</f>
        <v>0</v>
      </c>
      <c r="AD153" s="28">
        <f>IF(AP153="7",BH153,0)</f>
        <v>0</v>
      </c>
      <c r="AE153" s="28">
        <f>IF(AP153="2",BG153,0)</f>
        <v>0</v>
      </c>
      <c r="AF153" s="28">
        <f>IF(AP153="2",BH153,0)</f>
        <v>0</v>
      </c>
      <c r="AG153" s="28">
        <f>IF(AP153="0",BI153,0)</f>
        <v>0</v>
      </c>
      <c r="AH153" s="24"/>
      <c r="AI153" s="16">
        <f>IF(AM153=0,K153,0)</f>
        <v>0</v>
      </c>
      <c r="AJ153" s="16">
        <f>IF(AM153=15,K153,0)</f>
        <v>0</v>
      </c>
      <c r="AK153" s="16">
        <f>IF(AM153=21,K153,0)</f>
        <v>0</v>
      </c>
      <c r="AM153" s="28">
        <v>21</v>
      </c>
      <c r="AN153" s="28">
        <f>H153*0</f>
        <v>0</v>
      </c>
      <c r="AO153" s="28">
        <f>H153*(1-0)</f>
        <v>0</v>
      </c>
      <c r="AP153" s="23" t="s">
        <v>7</v>
      </c>
      <c r="AU153" s="28">
        <f>AV153+AW153</f>
        <v>0</v>
      </c>
      <c r="AV153" s="28">
        <f>G153*AN153</f>
        <v>0</v>
      </c>
      <c r="AW153" s="28">
        <f>G153*AO153</f>
        <v>0</v>
      </c>
      <c r="AX153" s="29" t="s">
        <v>590</v>
      </c>
      <c r="AY153" s="29" t="s">
        <v>606</v>
      </c>
      <c r="AZ153" s="24" t="s">
        <v>612</v>
      </c>
      <c r="BB153" s="28">
        <f>AV153+AW153</f>
        <v>0</v>
      </c>
      <c r="BC153" s="28">
        <f>H153/(100-BD153)*100</f>
        <v>0</v>
      </c>
      <c r="BD153" s="28">
        <v>0</v>
      </c>
      <c r="BE153" s="28">
        <f>153</f>
        <v>153</v>
      </c>
      <c r="BG153" s="16">
        <f>G153*AN153</f>
        <v>0</v>
      </c>
      <c r="BH153" s="16">
        <f>G153*AO153</f>
        <v>0</v>
      </c>
      <c r="BI153" s="16">
        <f>G153*H153</f>
        <v>0</v>
      </c>
    </row>
    <row r="154" spans="3:7" ht="12.75">
      <c r="C154" s="153" t="s">
        <v>346</v>
      </c>
      <c r="D154" s="154"/>
      <c r="E154" s="154"/>
      <c r="G154" s="67">
        <v>1.476</v>
      </c>
    </row>
    <row r="155" spans="3:7" ht="12.75">
      <c r="C155" s="153" t="s">
        <v>347</v>
      </c>
      <c r="D155" s="154"/>
      <c r="E155" s="154"/>
      <c r="G155" s="67">
        <v>0</v>
      </c>
    </row>
    <row r="156" spans="3:7" ht="12.75">
      <c r="C156" s="153" t="s">
        <v>348</v>
      </c>
      <c r="D156" s="154"/>
      <c r="E156" s="154"/>
      <c r="G156" s="67">
        <v>4.131</v>
      </c>
    </row>
    <row r="157" spans="3:7" ht="12.75">
      <c r="C157" s="153" t="s">
        <v>349</v>
      </c>
      <c r="D157" s="154"/>
      <c r="E157" s="154"/>
      <c r="G157" s="67">
        <v>3.144</v>
      </c>
    </row>
    <row r="158" spans="3:7" ht="12.75">
      <c r="C158" s="153" t="s">
        <v>350</v>
      </c>
      <c r="D158" s="154"/>
      <c r="E158" s="154"/>
      <c r="G158" s="67">
        <v>1.969</v>
      </c>
    </row>
    <row r="159" spans="3:7" ht="12.75">
      <c r="C159" s="153" t="s">
        <v>351</v>
      </c>
      <c r="D159" s="154"/>
      <c r="E159" s="154"/>
      <c r="G159" s="67">
        <v>3.194</v>
      </c>
    </row>
    <row r="160" spans="3:7" ht="12.75">
      <c r="C160" s="153" t="s">
        <v>352</v>
      </c>
      <c r="D160" s="154"/>
      <c r="E160" s="154"/>
      <c r="G160" s="67">
        <v>4.58</v>
      </c>
    </row>
    <row r="161" spans="1:61" ht="12.75">
      <c r="A161" s="4" t="s">
        <v>39</v>
      </c>
      <c r="B161" s="4" t="s">
        <v>136</v>
      </c>
      <c r="C161" s="148" t="s">
        <v>353</v>
      </c>
      <c r="D161" s="149"/>
      <c r="E161" s="149"/>
      <c r="F161" s="4" t="s">
        <v>552</v>
      </c>
      <c r="G161" s="66">
        <v>13.537</v>
      </c>
      <c r="H161" s="16">
        <v>0</v>
      </c>
      <c r="I161" s="16">
        <f>G161*AN161</f>
        <v>0</v>
      </c>
      <c r="J161" s="16">
        <f>G161*AO161</f>
        <v>0</v>
      </c>
      <c r="K161" s="16">
        <f>G161*H161</f>
        <v>0</v>
      </c>
      <c r="Y161" s="28">
        <f>IF(AP161="5",BI161,0)</f>
        <v>0</v>
      </c>
      <c r="AA161" s="28">
        <f>IF(AP161="1",BG161,0)</f>
        <v>0</v>
      </c>
      <c r="AB161" s="28">
        <f>IF(AP161="1",BH161,0)</f>
        <v>0</v>
      </c>
      <c r="AC161" s="28">
        <f>IF(AP161="7",BG161,0)</f>
        <v>0</v>
      </c>
      <c r="AD161" s="28">
        <f>IF(AP161="7",BH161,0)</f>
        <v>0</v>
      </c>
      <c r="AE161" s="28">
        <f>IF(AP161="2",BG161,0)</f>
        <v>0</v>
      </c>
      <c r="AF161" s="28">
        <f>IF(AP161="2",BH161,0)</f>
        <v>0</v>
      </c>
      <c r="AG161" s="28">
        <f>IF(AP161="0",BI161,0)</f>
        <v>0</v>
      </c>
      <c r="AH161" s="24"/>
      <c r="AI161" s="16">
        <f>IF(AM161=0,K161,0)</f>
        <v>0</v>
      </c>
      <c r="AJ161" s="16">
        <f>IF(AM161=15,K161,0)</f>
        <v>0</v>
      </c>
      <c r="AK161" s="16">
        <f>IF(AM161=21,K161,0)</f>
        <v>0</v>
      </c>
      <c r="AM161" s="28">
        <v>21</v>
      </c>
      <c r="AN161" s="28">
        <f>H161*0</f>
        <v>0</v>
      </c>
      <c r="AO161" s="28">
        <f>H161*(1-0)</f>
        <v>0</v>
      </c>
      <c r="AP161" s="23" t="s">
        <v>7</v>
      </c>
      <c r="AU161" s="28">
        <f>AV161+AW161</f>
        <v>0</v>
      </c>
      <c r="AV161" s="28">
        <f>G161*AN161</f>
        <v>0</v>
      </c>
      <c r="AW161" s="28">
        <f>G161*AO161</f>
        <v>0</v>
      </c>
      <c r="AX161" s="29" t="s">
        <v>590</v>
      </c>
      <c r="AY161" s="29" t="s">
        <v>606</v>
      </c>
      <c r="AZ161" s="24" t="s">
        <v>612</v>
      </c>
      <c r="BB161" s="28">
        <f>AV161+AW161</f>
        <v>0</v>
      </c>
      <c r="BC161" s="28">
        <f>H161/(100-BD161)*100</f>
        <v>0</v>
      </c>
      <c r="BD161" s="28">
        <v>0</v>
      </c>
      <c r="BE161" s="28">
        <f>161</f>
        <v>161</v>
      </c>
      <c r="BG161" s="16">
        <f>G161*AN161</f>
        <v>0</v>
      </c>
      <c r="BH161" s="16">
        <f>G161*AO161</f>
        <v>0</v>
      </c>
      <c r="BI161" s="16">
        <f>G161*H161</f>
        <v>0</v>
      </c>
    </row>
    <row r="162" spans="3:7" ht="12.75">
      <c r="C162" s="153" t="s">
        <v>354</v>
      </c>
      <c r="D162" s="154"/>
      <c r="E162" s="154"/>
      <c r="G162" s="67">
        <v>3.86</v>
      </c>
    </row>
    <row r="163" spans="3:7" ht="12.75">
      <c r="C163" s="153" t="s">
        <v>355</v>
      </c>
      <c r="D163" s="154"/>
      <c r="E163" s="154"/>
      <c r="G163" s="67">
        <v>5.859</v>
      </c>
    </row>
    <row r="164" spans="3:7" ht="12.75">
      <c r="C164" s="153" t="s">
        <v>356</v>
      </c>
      <c r="D164" s="154"/>
      <c r="E164" s="154"/>
      <c r="G164" s="67">
        <v>6.078</v>
      </c>
    </row>
    <row r="165" spans="3:7" ht="12.75">
      <c r="C165" s="153" t="s">
        <v>357</v>
      </c>
      <c r="D165" s="154"/>
      <c r="E165" s="154"/>
      <c r="G165" s="67">
        <v>-2.26</v>
      </c>
    </row>
    <row r="166" spans="1:61" ht="12.75">
      <c r="A166" s="4" t="s">
        <v>40</v>
      </c>
      <c r="B166" s="4" t="s">
        <v>137</v>
      </c>
      <c r="C166" s="148" t="s">
        <v>358</v>
      </c>
      <c r="D166" s="149"/>
      <c r="E166" s="149"/>
      <c r="F166" s="4" t="s">
        <v>553</v>
      </c>
      <c r="G166" s="66">
        <v>10</v>
      </c>
      <c r="H166" s="16">
        <v>0</v>
      </c>
      <c r="I166" s="16">
        <f>G166*AN166</f>
        <v>0</v>
      </c>
      <c r="J166" s="16">
        <f>G166*AO166</f>
        <v>0</v>
      </c>
      <c r="K166" s="16">
        <f>G166*H166</f>
        <v>0</v>
      </c>
      <c r="Y166" s="28">
        <f>IF(AP166="5",BI166,0)</f>
        <v>0</v>
      </c>
      <c r="AA166" s="28">
        <f>IF(AP166="1",BG166,0)</f>
        <v>0</v>
      </c>
      <c r="AB166" s="28">
        <f>IF(AP166="1",BH166,0)</f>
        <v>0</v>
      </c>
      <c r="AC166" s="28">
        <f>IF(AP166="7",BG166,0)</f>
        <v>0</v>
      </c>
      <c r="AD166" s="28">
        <f>IF(AP166="7",BH166,0)</f>
        <v>0</v>
      </c>
      <c r="AE166" s="28">
        <f>IF(AP166="2",BG166,0)</f>
        <v>0</v>
      </c>
      <c r="AF166" s="28">
        <f>IF(AP166="2",BH166,0)</f>
        <v>0</v>
      </c>
      <c r="AG166" s="28">
        <f>IF(AP166="0",BI166,0)</f>
        <v>0</v>
      </c>
      <c r="AH166" s="24"/>
      <c r="AI166" s="16">
        <f>IF(AM166=0,K166,0)</f>
        <v>0</v>
      </c>
      <c r="AJ166" s="16">
        <f>IF(AM166=15,K166,0)</f>
        <v>0</v>
      </c>
      <c r="AK166" s="16">
        <f>IF(AM166=21,K166,0)</f>
        <v>0</v>
      </c>
      <c r="AM166" s="28">
        <v>21</v>
      </c>
      <c r="AN166" s="28">
        <f>H166*0</f>
        <v>0</v>
      </c>
      <c r="AO166" s="28">
        <f>H166*(1-0)</f>
        <v>0</v>
      </c>
      <c r="AP166" s="23" t="s">
        <v>7</v>
      </c>
      <c r="AU166" s="28">
        <f>AV166+AW166</f>
        <v>0</v>
      </c>
      <c r="AV166" s="28">
        <f>G166*AN166</f>
        <v>0</v>
      </c>
      <c r="AW166" s="28">
        <f>G166*AO166</f>
        <v>0</v>
      </c>
      <c r="AX166" s="29" t="s">
        <v>590</v>
      </c>
      <c r="AY166" s="29" t="s">
        <v>606</v>
      </c>
      <c r="AZ166" s="24" t="s">
        <v>612</v>
      </c>
      <c r="BB166" s="28">
        <f>AV166+AW166</f>
        <v>0</v>
      </c>
      <c r="BC166" s="28">
        <f>H166/(100-BD166)*100</f>
        <v>0</v>
      </c>
      <c r="BD166" s="28">
        <v>0</v>
      </c>
      <c r="BE166" s="28">
        <f>166</f>
        <v>166</v>
      </c>
      <c r="BG166" s="16">
        <f>G166*AN166</f>
        <v>0</v>
      </c>
      <c r="BH166" s="16">
        <f>G166*AO166</f>
        <v>0</v>
      </c>
      <c r="BI166" s="16">
        <f>G166*H166</f>
        <v>0</v>
      </c>
    </row>
    <row r="167" spans="3:7" ht="12.75">
      <c r="C167" s="153" t="s">
        <v>359</v>
      </c>
      <c r="D167" s="154"/>
      <c r="E167" s="154"/>
      <c r="G167" s="67">
        <v>1</v>
      </c>
    </row>
    <row r="168" spans="3:7" ht="12.75">
      <c r="C168" s="153" t="s">
        <v>360</v>
      </c>
      <c r="D168" s="154"/>
      <c r="E168" s="154"/>
      <c r="G168" s="67">
        <v>2</v>
      </c>
    </row>
    <row r="169" spans="3:7" ht="12.75">
      <c r="C169" s="153" t="s">
        <v>361</v>
      </c>
      <c r="D169" s="154"/>
      <c r="E169" s="154"/>
      <c r="G169" s="67">
        <v>7</v>
      </c>
    </row>
    <row r="170" spans="1:61" ht="12.75">
      <c r="A170" s="4" t="s">
        <v>41</v>
      </c>
      <c r="B170" s="4" t="s">
        <v>138</v>
      </c>
      <c r="C170" s="148" t="s">
        <v>362</v>
      </c>
      <c r="D170" s="149"/>
      <c r="E170" s="149"/>
      <c r="F170" s="4" t="s">
        <v>551</v>
      </c>
      <c r="G170" s="66">
        <v>2.758</v>
      </c>
      <c r="H170" s="16">
        <v>0</v>
      </c>
      <c r="I170" s="16">
        <f>G170*AN170</f>
        <v>0</v>
      </c>
      <c r="J170" s="16">
        <f>G170*AO170</f>
        <v>0</v>
      </c>
      <c r="K170" s="16">
        <f>G170*H170</f>
        <v>0</v>
      </c>
      <c r="Y170" s="28">
        <f>IF(AP170="5",BI170,0)</f>
        <v>0</v>
      </c>
      <c r="AA170" s="28">
        <f>IF(AP170="1",BG170,0)</f>
        <v>0</v>
      </c>
      <c r="AB170" s="28">
        <f>IF(AP170="1",BH170,0)</f>
        <v>0</v>
      </c>
      <c r="AC170" s="28">
        <f>IF(AP170="7",BG170,0)</f>
        <v>0</v>
      </c>
      <c r="AD170" s="28">
        <f>IF(AP170="7",BH170,0)</f>
        <v>0</v>
      </c>
      <c r="AE170" s="28">
        <f>IF(AP170="2",BG170,0)</f>
        <v>0</v>
      </c>
      <c r="AF170" s="28">
        <f>IF(AP170="2",BH170,0)</f>
        <v>0</v>
      </c>
      <c r="AG170" s="28">
        <f>IF(AP170="0",BI170,0)</f>
        <v>0</v>
      </c>
      <c r="AH170" s="24"/>
      <c r="AI170" s="16">
        <f>IF(AM170=0,K170,0)</f>
        <v>0</v>
      </c>
      <c r="AJ170" s="16">
        <f>IF(AM170=15,K170,0)</f>
        <v>0</v>
      </c>
      <c r="AK170" s="16">
        <f>IF(AM170=21,K170,0)</f>
        <v>0</v>
      </c>
      <c r="AM170" s="28">
        <v>21</v>
      </c>
      <c r="AN170" s="28">
        <f>H170*0.0755768852329975</f>
        <v>0</v>
      </c>
      <c r="AO170" s="28">
        <f>H170*(1-0.0755768852329975)</f>
        <v>0</v>
      </c>
      <c r="AP170" s="23" t="s">
        <v>7</v>
      </c>
      <c r="AU170" s="28">
        <f>AV170+AW170</f>
        <v>0</v>
      </c>
      <c r="AV170" s="28">
        <f>G170*AN170</f>
        <v>0</v>
      </c>
      <c r="AW170" s="28">
        <f>G170*AO170</f>
        <v>0</v>
      </c>
      <c r="AX170" s="29" t="s">
        <v>590</v>
      </c>
      <c r="AY170" s="29" t="s">
        <v>606</v>
      </c>
      <c r="AZ170" s="24" t="s">
        <v>612</v>
      </c>
      <c r="BB170" s="28">
        <f>AV170+AW170</f>
        <v>0</v>
      </c>
      <c r="BC170" s="28">
        <f>H170/(100-BD170)*100</f>
        <v>0</v>
      </c>
      <c r="BD170" s="28">
        <v>0</v>
      </c>
      <c r="BE170" s="28">
        <f>170</f>
        <v>170</v>
      </c>
      <c r="BG170" s="16">
        <f>G170*AN170</f>
        <v>0</v>
      </c>
      <c r="BH170" s="16">
        <f>G170*AO170</f>
        <v>0</v>
      </c>
      <c r="BI170" s="16">
        <f>G170*H170</f>
        <v>0</v>
      </c>
    </row>
    <row r="171" spans="3:7" ht="12.75">
      <c r="C171" s="153" t="s">
        <v>363</v>
      </c>
      <c r="D171" s="154"/>
      <c r="E171" s="154"/>
      <c r="G171" s="67">
        <v>2.758</v>
      </c>
    </row>
    <row r="172" spans="1:61" ht="12.75">
      <c r="A172" s="4" t="s">
        <v>42</v>
      </c>
      <c r="B172" s="4" t="s">
        <v>139</v>
      </c>
      <c r="C172" s="148" t="s">
        <v>364</v>
      </c>
      <c r="D172" s="149"/>
      <c r="E172" s="149"/>
      <c r="F172" s="4" t="s">
        <v>554</v>
      </c>
      <c r="G172" s="66">
        <v>0.167</v>
      </c>
      <c r="H172" s="16">
        <v>0</v>
      </c>
      <c r="I172" s="16">
        <f>G172*AN172</f>
        <v>0</v>
      </c>
      <c r="J172" s="16">
        <f>G172*AO172</f>
        <v>0</v>
      </c>
      <c r="K172" s="16">
        <f>G172*H172</f>
        <v>0</v>
      </c>
      <c r="Y172" s="28">
        <f>IF(AP172="5",BI172,0)</f>
        <v>0</v>
      </c>
      <c r="AA172" s="28">
        <f>IF(AP172="1",BG172,0)</f>
        <v>0</v>
      </c>
      <c r="AB172" s="28">
        <f>IF(AP172="1",BH172,0)</f>
        <v>0</v>
      </c>
      <c r="AC172" s="28">
        <f>IF(AP172="7",BG172,0)</f>
        <v>0</v>
      </c>
      <c r="AD172" s="28">
        <f>IF(AP172="7",BH172,0)</f>
        <v>0</v>
      </c>
      <c r="AE172" s="28">
        <f>IF(AP172="2",BG172,0)</f>
        <v>0</v>
      </c>
      <c r="AF172" s="28">
        <f>IF(AP172="2",BH172,0)</f>
        <v>0</v>
      </c>
      <c r="AG172" s="28">
        <f>IF(AP172="0",BI172,0)</f>
        <v>0</v>
      </c>
      <c r="AH172" s="24"/>
      <c r="AI172" s="16">
        <f>IF(AM172=0,K172,0)</f>
        <v>0</v>
      </c>
      <c r="AJ172" s="16">
        <f>IF(AM172=15,K172,0)</f>
        <v>0</v>
      </c>
      <c r="AK172" s="16">
        <f>IF(AM172=21,K172,0)</f>
        <v>0</v>
      </c>
      <c r="AM172" s="28">
        <v>21</v>
      </c>
      <c r="AN172" s="28">
        <f>H172*0.0386901569404236</f>
        <v>0</v>
      </c>
      <c r="AO172" s="28">
        <f>H172*(1-0.0386901569404236)</f>
        <v>0</v>
      </c>
      <c r="AP172" s="23" t="s">
        <v>7</v>
      </c>
      <c r="AU172" s="28">
        <f>AV172+AW172</f>
        <v>0</v>
      </c>
      <c r="AV172" s="28">
        <f>G172*AN172</f>
        <v>0</v>
      </c>
      <c r="AW172" s="28">
        <f>G172*AO172</f>
        <v>0</v>
      </c>
      <c r="AX172" s="29" t="s">
        <v>590</v>
      </c>
      <c r="AY172" s="29" t="s">
        <v>606</v>
      </c>
      <c r="AZ172" s="24" t="s">
        <v>612</v>
      </c>
      <c r="BB172" s="28">
        <f>AV172+AW172</f>
        <v>0</v>
      </c>
      <c r="BC172" s="28">
        <f>H172/(100-BD172)*100</f>
        <v>0</v>
      </c>
      <c r="BD172" s="28">
        <v>0</v>
      </c>
      <c r="BE172" s="28">
        <f>172</f>
        <v>172</v>
      </c>
      <c r="BG172" s="16">
        <f>G172*AN172</f>
        <v>0</v>
      </c>
      <c r="BH172" s="16">
        <f>G172*AO172</f>
        <v>0</v>
      </c>
      <c r="BI172" s="16">
        <f>G172*H172</f>
        <v>0</v>
      </c>
    </row>
    <row r="173" spans="3:7" ht="12.75">
      <c r="C173" s="153" t="s">
        <v>365</v>
      </c>
      <c r="D173" s="154"/>
      <c r="E173" s="154"/>
      <c r="G173" s="67">
        <v>0.167</v>
      </c>
    </row>
    <row r="174" spans="1:61" ht="12.75">
      <c r="A174" s="4" t="s">
        <v>43</v>
      </c>
      <c r="B174" s="4" t="s">
        <v>140</v>
      </c>
      <c r="C174" s="148" t="s">
        <v>366</v>
      </c>
      <c r="D174" s="149"/>
      <c r="E174" s="149"/>
      <c r="F174" s="4" t="s">
        <v>553</v>
      </c>
      <c r="G174" s="66">
        <v>20</v>
      </c>
      <c r="H174" s="16">
        <v>0</v>
      </c>
      <c r="I174" s="16">
        <f>G174*AN174</f>
        <v>0</v>
      </c>
      <c r="J174" s="16">
        <f>G174*AO174</f>
        <v>0</v>
      </c>
      <c r="K174" s="16">
        <f>G174*H174</f>
        <v>0</v>
      </c>
      <c r="Y174" s="28">
        <f>IF(AP174="5",BI174,0)</f>
        <v>0</v>
      </c>
      <c r="AA174" s="28">
        <f>IF(AP174="1",BG174,0)</f>
        <v>0</v>
      </c>
      <c r="AB174" s="28">
        <f>IF(AP174="1",BH174,0)</f>
        <v>0</v>
      </c>
      <c r="AC174" s="28">
        <f>IF(AP174="7",BG174,0)</f>
        <v>0</v>
      </c>
      <c r="AD174" s="28">
        <f>IF(AP174="7",BH174,0)</f>
        <v>0</v>
      </c>
      <c r="AE174" s="28">
        <f>IF(AP174="2",BG174,0)</f>
        <v>0</v>
      </c>
      <c r="AF174" s="28">
        <f>IF(AP174="2",BH174,0)</f>
        <v>0</v>
      </c>
      <c r="AG174" s="28">
        <f>IF(AP174="0",BI174,0)</f>
        <v>0</v>
      </c>
      <c r="AH174" s="24"/>
      <c r="AI174" s="16">
        <f>IF(AM174=0,K174,0)</f>
        <v>0</v>
      </c>
      <c r="AJ174" s="16">
        <f>IF(AM174=15,K174,0)</f>
        <v>0</v>
      </c>
      <c r="AK174" s="16">
        <f>IF(AM174=21,K174,0)</f>
        <v>0</v>
      </c>
      <c r="AM174" s="28">
        <v>21</v>
      </c>
      <c r="AN174" s="28">
        <f>H174*0.0000930232558139535</f>
        <v>0</v>
      </c>
      <c r="AO174" s="28">
        <f>H174*(1-0.0000930232558139535)</f>
        <v>0</v>
      </c>
      <c r="AP174" s="23" t="s">
        <v>7</v>
      </c>
      <c r="AU174" s="28">
        <f>AV174+AW174</f>
        <v>0</v>
      </c>
      <c r="AV174" s="28">
        <f>G174*AN174</f>
        <v>0</v>
      </c>
      <c r="AW174" s="28">
        <f>G174*AO174</f>
        <v>0</v>
      </c>
      <c r="AX174" s="29" t="s">
        <v>590</v>
      </c>
      <c r="AY174" s="29" t="s">
        <v>606</v>
      </c>
      <c r="AZ174" s="24" t="s">
        <v>612</v>
      </c>
      <c r="BB174" s="28">
        <f>AV174+AW174</f>
        <v>0</v>
      </c>
      <c r="BC174" s="28">
        <f>H174/(100-BD174)*100</f>
        <v>0</v>
      </c>
      <c r="BD174" s="28">
        <v>0</v>
      </c>
      <c r="BE174" s="28">
        <f>174</f>
        <v>174</v>
      </c>
      <c r="BG174" s="16">
        <f>G174*AN174</f>
        <v>0</v>
      </c>
      <c r="BH174" s="16">
        <f>G174*AO174</f>
        <v>0</v>
      </c>
      <c r="BI174" s="16">
        <f>G174*H174</f>
        <v>0</v>
      </c>
    </row>
    <row r="175" spans="3:7" ht="12.75">
      <c r="C175" s="153" t="s">
        <v>367</v>
      </c>
      <c r="D175" s="154"/>
      <c r="E175" s="154"/>
      <c r="G175" s="67">
        <v>0</v>
      </c>
    </row>
    <row r="176" spans="3:7" ht="12.75">
      <c r="C176" s="153" t="s">
        <v>368</v>
      </c>
      <c r="D176" s="154"/>
      <c r="E176" s="154"/>
      <c r="G176" s="67">
        <v>6</v>
      </c>
    </row>
    <row r="177" spans="3:7" ht="12.75">
      <c r="C177" s="153" t="s">
        <v>369</v>
      </c>
      <c r="D177" s="154"/>
      <c r="E177" s="154"/>
      <c r="G177" s="67">
        <v>4</v>
      </c>
    </row>
    <row r="178" spans="3:7" ht="12.75">
      <c r="C178" s="153" t="s">
        <v>370</v>
      </c>
      <c r="D178" s="154"/>
      <c r="E178" s="154"/>
      <c r="G178" s="67">
        <v>3</v>
      </c>
    </row>
    <row r="179" spans="3:7" ht="12.75">
      <c r="C179" s="153" t="s">
        <v>371</v>
      </c>
      <c r="D179" s="154"/>
      <c r="E179" s="154"/>
      <c r="G179" s="67">
        <v>2</v>
      </c>
    </row>
    <row r="180" spans="3:7" ht="12.75">
      <c r="C180" s="153" t="s">
        <v>372</v>
      </c>
      <c r="D180" s="154"/>
      <c r="E180" s="154"/>
      <c r="G180" s="67">
        <v>2</v>
      </c>
    </row>
    <row r="181" spans="3:7" ht="12.75">
      <c r="C181" s="153" t="s">
        <v>373</v>
      </c>
      <c r="D181" s="154"/>
      <c r="E181" s="154"/>
      <c r="G181" s="67">
        <v>1</v>
      </c>
    </row>
    <row r="182" spans="3:7" ht="12.75">
      <c r="C182" s="153" t="s">
        <v>374</v>
      </c>
      <c r="D182" s="154"/>
      <c r="E182" s="154"/>
      <c r="G182" s="67">
        <v>1</v>
      </c>
    </row>
    <row r="183" spans="3:7" ht="12.75">
      <c r="C183" s="153" t="s">
        <v>375</v>
      </c>
      <c r="D183" s="154"/>
      <c r="E183" s="154"/>
      <c r="G183" s="67">
        <v>1</v>
      </c>
    </row>
    <row r="184" spans="1:61" ht="12.75">
      <c r="A184" s="4" t="s">
        <v>44</v>
      </c>
      <c r="B184" s="4" t="s">
        <v>141</v>
      </c>
      <c r="C184" s="148" t="s">
        <v>376</v>
      </c>
      <c r="D184" s="149"/>
      <c r="E184" s="149"/>
      <c r="F184" s="4" t="s">
        <v>551</v>
      </c>
      <c r="G184" s="66">
        <v>0</v>
      </c>
      <c r="H184" s="16">
        <v>0</v>
      </c>
      <c r="I184" s="16">
        <f>G184*AN184</f>
        <v>0</v>
      </c>
      <c r="J184" s="16">
        <f>G184*AO184</f>
        <v>0</v>
      </c>
      <c r="K184" s="16">
        <f>G184*H184</f>
        <v>0</v>
      </c>
      <c r="Y184" s="28">
        <f>IF(AP184="5",BI184,0)</f>
        <v>0</v>
      </c>
      <c r="AA184" s="28">
        <f>IF(AP184="1",BG184,0)</f>
        <v>0</v>
      </c>
      <c r="AB184" s="28">
        <f>IF(AP184="1",BH184,0)</f>
        <v>0</v>
      </c>
      <c r="AC184" s="28">
        <f>IF(AP184="7",BG184,0)</f>
        <v>0</v>
      </c>
      <c r="AD184" s="28">
        <f>IF(AP184="7",BH184,0)</f>
        <v>0</v>
      </c>
      <c r="AE184" s="28">
        <f>IF(AP184="2",BG184,0)</f>
        <v>0</v>
      </c>
      <c r="AF184" s="28">
        <f>IF(AP184="2",BH184,0)</f>
        <v>0</v>
      </c>
      <c r="AG184" s="28">
        <f>IF(AP184="0",BI184,0)</f>
        <v>0</v>
      </c>
      <c r="AH184" s="24"/>
      <c r="AI184" s="16">
        <f>IF(AM184=0,K184,0)</f>
        <v>0</v>
      </c>
      <c r="AJ184" s="16">
        <f>IF(AM184=15,K184,0)</f>
        <v>0</v>
      </c>
      <c r="AK184" s="16">
        <f>IF(AM184=21,K184,0)</f>
        <v>0</v>
      </c>
      <c r="AM184" s="28">
        <v>21</v>
      </c>
      <c r="AN184" s="28">
        <f>H184*0</f>
        <v>0</v>
      </c>
      <c r="AO184" s="28">
        <f>H184*(1-0)</f>
        <v>0</v>
      </c>
      <c r="AP184" s="23" t="s">
        <v>7</v>
      </c>
      <c r="AU184" s="28">
        <f>AV184+AW184</f>
        <v>0</v>
      </c>
      <c r="AV184" s="28">
        <f>G184*AN184</f>
        <v>0</v>
      </c>
      <c r="AW184" s="28">
        <f>G184*AO184</f>
        <v>0</v>
      </c>
      <c r="AX184" s="29" t="s">
        <v>590</v>
      </c>
      <c r="AY184" s="29" t="s">
        <v>606</v>
      </c>
      <c r="AZ184" s="24" t="s">
        <v>612</v>
      </c>
      <c r="BB184" s="28">
        <f>AV184+AW184</f>
        <v>0</v>
      </c>
      <c r="BC184" s="28">
        <f>H184/(100-BD184)*100</f>
        <v>0</v>
      </c>
      <c r="BD184" s="28">
        <v>0</v>
      </c>
      <c r="BE184" s="28">
        <f>184</f>
        <v>184</v>
      </c>
      <c r="BG184" s="16">
        <f>G184*AN184</f>
        <v>0</v>
      </c>
      <c r="BH184" s="16">
        <f>G184*AO184</f>
        <v>0</v>
      </c>
      <c r="BI184" s="16">
        <f>G184*H184</f>
        <v>0</v>
      </c>
    </row>
    <row r="185" spans="3:7" ht="12.75">
      <c r="C185" s="153" t="s">
        <v>377</v>
      </c>
      <c r="D185" s="154"/>
      <c r="E185" s="154"/>
      <c r="G185" s="67">
        <v>0</v>
      </c>
    </row>
    <row r="186" spans="1:61" ht="12.75">
      <c r="A186" s="4" t="s">
        <v>45</v>
      </c>
      <c r="B186" s="4" t="s">
        <v>142</v>
      </c>
      <c r="C186" s="148" t="s">
        <v>378</v>
      </c>
      <c r="D186" s="149"/>
      <c r="E186" s="149"/>
      <c r="F186" s="4" t="s">
        <v>554</v>
      </c>
      <c r="G186" s="66">
        <v>0.136</v>
      </c>
      <c r="H186" s="16">
        <v>0</v>
      </c>
      <c r="I186" s="16">
        <f>G186*AN186</f>
        <v>0</v>
      </c>
      <c r="J186" s="16">
        <f>G186*AO186</f>
        <v>0</v>
      </c>
      <c r="K186" s="16">
        <f>G186*H186</f>
        <v>0</v>
      </c>
      <c r="Y186" s="28">
        <f>IF(AP186="5",BI186,0)</f>
        <v>0</v>
      </c>
      <c r="AA186" s="28">
        <f>IF(AP186="1",BG186,0)</f>
        <v>0</v>
      </c>
      <c r="AB186" s="28">
        <f>IF(AP186="1",BH186,0)</f>
        <v>0</v>
      </c>
      <c r="AC186" s="28">
        <f>IF(AP186="7",BG186,0)</f>
        <v>0</v>
      </c>
      <c r="AD186" s="28">
        <f>IF(AP186="7",BH186,0)</f>
        <v>0</v>
      </c>
      <c r="AE186" s="28">
        <f>IF(AP186="2",BG186,0)</f>
        <v>0</v>
      </c>
      <c r="AF186" s="28">
        <f>IF(AP186="2",BH186,0)</f>
        <v>0</v>
      </c>
      <c r="AG186" s="28">
        <f>IF(AP186="0",BI186,0)</f>
        <v>0</v>
      </c>
      <c r="AH186" s="24"/>
      <c r="AI186" s="16">
        <f>IF(AM186=0,K186,0)</f>
        <v>0</v>
      </c>
      <c r="AJ186" s="16">
        <f>IF(AM186=15,K186,0)</f>
        <v>0</v>
      </c>
      <c r="AK186" s="16">
        <f>IF(AM186=21,K186,0)</f>
        <v>0</v>
      </c>
      <c r="AM186" s="28">
        <v>21</v>
      </c>
      <c r="AN186" s="28">
        <f>H186*0</f>
        <v>0</v>
      </c>
      <c r="AO186" s="28">
        <f>H186*(1-0)</f>
        <v>0</v>
      </c>
      <c r="AP186" s="23" t="s">
        <v>7</v>
      </c>
      <c r="AU186" s="28">
        <f>AV186+AW186</f>
        <v>0</v>
      </c>
      <c r="AV186" s="28">
        <f>G186*AN186</f>
        <v>0</v>
      </c>
      <c r="AW186" s="28">
        <f>G186*AO186</f>
        <v>0</v>
      </c>
      <c r="AX186" s="29" t="s">
        <v>590</v>
      </c>
      <c r="AY186" s="29" t="s">
        <v>606</v>
      </c>
      <c r="AZ186" s="24" t="s">
        <v>612</v>
      </c>
      <c r="BB186" s="28">
        <f>AV186+AW186</f>
        <v>0</v>
      </c>
      <c r="BC186" s="28">
        <f>H186/(100-BD186)*100</f>
        <v>0</v>
      </c>
      <c r="BD186" s="28">
        <v>0</v>
      </c>
      <c r="BE186" s="28">
        <f>186</f>
        <v>186</v>
      </c>
      <c r="BG186" s="16">
        <f>G186*AN186</f>
        <v>0</v>
      </c>
      <c r="BH186" s="16">
        <f>G186*AO186</f>
        <v>0</v>
      </c>
      <c r="BI186" s="16">
        <f>G186*H186</f>
        <v>0</v>
      </c>
    </row>
    <row r="187" spans="3:7" ht="12.75">
      <c r="C187" s="153" t="s">
        <v>379</v>
      </c>
      <c r="D187" s="154"/>
      <c r="E187" s="154"/>
      <c r="G187" s="67">
        <v>0</v>
      </c>
    </row>
    <row r="188" spans="3:7" ht="12.75">
      <c r="C188" s="153" t="s">
        <v>380</v>
      </c>
      <c r="D188" s="154"/>
      <c r="E188" s="154"/>
      <c r="G188" s="67">
        <v>0</v>
      </c>
    </row>
    <row r="189" spans="3:7" ht="12.75">
      <c r="C189" s="153" t="s">
        <v>297</v>
      </c>
      <c r="D189" s="154"/>
      <c r="E189" s="154"/>
      <c r="G189" s="67">
        <v>0.053</v>
      </c>
    </row>
    <row r="190" spans="3:7" ht="12.75">
      <c r="C190" s="153" t="s">
        <v>381</v>
      </c>
      <c r="D190" s="154"/>
      <c r="E190" s="154"/>
      <c r="G190" s="67">
        <v>0.039</v>
      </c>
    </row>
    <row r="191" spans="3:7" ht="12.75">
      <c r="C191" s="153" t="s">
        <v>382</v>
      </c>
      <c r="D191" s="154"/>
      <c r="E191" s="154"/>
      <c r="G191" s="67">
        <v>0.044</v>
      </c>
    </row>
    <row r="192" spans="1:46" ht="12.75">
      <c r="A192" s="5"/>
      <c r="B192" s="13" t="s">
        <v>143</v>
      </c>
      <c r="C192" s="157" t="s">
        <v>383</v>
      </c>
      <c r="D192" s="158"/>
      <c r="E192" s="158"/>
      <c r="F192" s="5" t="s">
        <v>6</v>
      </c>
      <c r="G192" s="5" t="s">
        <v>6</v>
      </c>
      <c r="H192" s="5" t="s">
        <v>6</v>
      </c>
      <c r="I192" s="31">
        <f>SUM(I193:I238)</f>
        <v>0</v>
      </c>
      <c r="J192" s="31">
        <f>SUM(J193:J238)</f>
        <v>0</v>
      </c>
      <c r="K192" s="31">
        <f>SUM(K193:K238)</f>
        <v>0</v>
      </c>
      <c r="AH192" s="24"/>
      <c r="AR192" s="31">
        <f>SUM(AI193:AI238)</f>
        <v>0</v>
      </c>
      <c r="AS192" s="31">
        <f>SUM(AJ193:AJ238)</f>
        <v>0</v>
      </c>
      <c r="AT192" s="31">
        <f>SUM(AK193:AK238)</f>
        <v>0</v>
      </c>
    </row>
    <row r="193" spans="1:61" ht="12.75">
      <c r="A193" s="4" t="s">
        <v>46</v>
      </c>
      <c r="B193" s="4" t="s">
        <v>144</v>
      </c>
      <c r="C193" s="148" t="s">
        <v>384</v>
      </c>
      <c r="D193" s="149"/>
      <c r="E193" s="149"/>
      <c r="F193" s="4" t="s">
        <v>551</v>
      </c>
      <c r="G193" s="66">
        <v>77.525</v>
      </c>
      <c r="H193" s="16">
        <v>0</v>
      </c>
      <c r="I193" s="16">
        <f>G193*AN193</f>
        <v>0</v>
      </c>
      <c r="J193" s="16">
        <f>G193*AO193</f>
        <v>0</v>
      </c>
      <c r="K193" s="16">
        <f>G193*H193</f>
        <v>0</v>
      </c>
      <c r="Y193" s="28">
        <f>IF(AP193="5",BI193,0)</f>
        <v>0</v>
      </c>
      <c r="AA193" s="28">
        <f>IF(AP193="1",BG193,0)</f>
        <v>0</v>
      </c>
      <c r="AB193" s="28">
        <f>IF(AP193="1",BH193,0)</f>
        <v>0</v>
      </c>
      <c r="AC193" s="28">
        <f>IF(AP193="7",BG193,0)</f>
        <v>0</v>
      </c>
      <c r="AD193" s="28">
        <f>IF(AP193="7",BH193,0)</f>
        <v>0</v>
      </c>
      <c r="AE193" s="28">
        <f>IF(AP193="2",BG193,0)</f>
        <v>0</v>
      </c>
      <c r="AF193" s="28">
        <f>IF(AP193="2",BH193,0)</f>
        <v>0</v>
      </c>
      <c r="AG193" s="28">
        <f>IF(AP193="0",BI193,0)</f>
        <v>0</v>
      </c>
      <c r="AH193" s="24"/>
      <c r="AI193" s="16">
        <f>IF(AM193=0,K193,0)</f>
        <v>0</v>
      </c>
      <c r="AJ193" s="16">
        <f>IF(AM193=15,K193,0)</f>
        <v>0</v>
      </c>
      <c r="AK193" s="16">
        <f>IF(AM193=21,K193,0)</f>
        <v>0</v>
      </c>
      <c r="AM193" s="28">
        <v>21</v>
      </c>
      <c r="AN193" s="28">
        <f>H193*0</f>
        <v>0</v>
      </c>
      <c r="AO193" s="28">
        <f>H193*(1-0)</f>
        <v>0</v>
      </c>
      <c r="AP193" s="23" t="s">
        <v>7</v>
      </c>
      <c r="AU193" s="28">
        <f>AV193+AW193</f>
        <v>0</v>
      </c>
      <c r="AV193" s="28">
        <f>G193*AN193</f>
        <v>0</v>
      </c>
      <c r="AW193" s="28">
        <f>G193*AO193</f>
        <v>0</v>
      </c>
      <c r="AX193" s="29" t="s">
        <v>591</v>
      </c>
      <c r="AY193" s="29" t="s">
        <v>606</v>
      </c>
      <c r="AZ193" s="24" t="s">
        <v>612</v>
      </c>
      <c r="BB193" s="28">
        <f>AV193+AW193</f>
        <v>0</v>
      </c>
      <c r="BC193" s="28">
        <f>H193/(100-BD193)*100</f>
        <v>0</v>
      </c>
      <c r="BD193" s="28">
        <v>0</v>
      </c>
      <c r="BE193" s="28">
        <f>193</f>
        <v>193</v>
      </c>
      <c r="BG193" s="16">
        <f>G193*AN193</f>
        <v>0</v>
      </c>
      <c r="BH193" s="16">
        <f>G193*AO193</f>
        <v>0</v>
      </c>
      <c r="BI193" s="16">
        <f>G193*H193</f>
        <v>0</v>
      </c>
    </row>
    <row r="194" spans="3:5" ht="12.75">
      <c r="C194" s="155" t="s">
        <v>385</v>
      </c>
      <c r="D194" s="156"/>
      <c r="E194" s="156"/>
    </row>
    <row r="195" spans="3:7" ht="12.75">
      <c r="C195" s="153" t="s">
        <v>386</v>
      </c>
      <c r="D195" s="154"/>
      <c r="E195" s="154"/>
      <c r="G195" s="67">
        <v>1.182</v>
      </c>
    </row>
    <row r="196" spans="3:7" ht="12.75">
      <c r="C196" s="153" t="s">
        <v>253</v>
      </c>
      <c r="D196" s="154"/>
      <c r="E196" s="154"/>
      <c r="G196" s="67">
        <v>2.326</v>
      </c>
    </row>
    <row r="197" spans="3:7" ht="12.75">
      <c r="C197" s="153" t="s">
        <v>387</v>
      </c>
      <c r="D197" s="154"/>
      <c r="E197" s="154"/>
      <c r="G197" s="67">
        <v>11.233</v>
      </c>
    </row>
    <row r="198" spans="3:7" ht="12.75">
      <c r="C198" s="153" t="s">
        <v>388</v>
      </c>
      <c r="D198" s="154"/>
      <c r="E198" s="154"/>
      <c r="G198" s="67">
        <v>10.935</v>
      </c>
    </row>
    <row r="199" spans="3:7" ht="12.75">
      <c r="C199" s="153" t="s">
        <v>389</v>
      </c>
      <c r="D199" s="154"/>
      <c r="E199" s="154"/>
      <c r="G199" s="67">
        <v>13.443</v>
      </c>
    </row>
    <row r="200" spans="3:7" ht="12.75">
      <c r="C200" s="153" t="s">
        <v>390</v>
      </c>
      <c r="D200" s="154"/>
      <c r="E200" s="154"/>
      <c r="G200" s="67">
        <v>9.385</v>
      </c>
    </row>
    <row r="201" spans="3:7" ht="12.75">
      <c r="C201" s="153" t="s">
        <v>391</v>
      </c>
      <c r="D201" s="154"/>
      <c r="E201" s="154"/>
      <c r="G201" s="67">
        <v>9.437</v>
      </c>
    </row>
    <row r="202" spans="3:7" ht="12.75">
      <c r="C202" s="153" t="s">
        <v>392</v>
      </c>
      <c r="D202" s="154"/>
      <c r="E202" s="154"/>
      <c r="G202" s="67">
        <v>12.045</v>
      </c>
    </row>
    <row r="203" spans="3:7" ht="12.75">
      <c r="C203" s="153" t="s">
        <v>260</v>
      </c>
      <c r="D203" s="154"/>
      <c r="E203" s="154"/>
      <c r="G203" s="67">
        <v>3.6</v>
      </c>
    </row>
    <row r="204" spans="3:7" ht="12.75">
      <c r="C204" s="153" t="s">
        <v>261</v>
      </c>
      <c r="D204" s="154"/>
      <c r="E204" s="154"/>
      <c r="G204" s="67">
        <v>1.95</v>
      </c>
    </row>
    <row r="205" spans="3:7" ht="12.75">
      <c r="C205" s="153" t="s">
        <v>393</v>
      </c>
      <c r="D205" s="154"/>
      <c r="E205" s="154"/>
      <c r="G205" s="67">
        <v>1.989</v>
      </c>
    </row>
    <row r="206" spans="1:61" ht="12.75">
      <c r="A206" s="4" t="s">
        <v>47</v>
      </c>
      <c r="B206" s="4" t="s">
        <v>145</v>
      </c>
      <c r="C206" s="148" t="s">
        <v>394</v>
      </c>
      <c r="D206" s="149"/>
      <c r="E206" s="149"/>
      <c r="F206" s="4" t="s">
        <v>551</v>
      </c>
      <c r="G206" s="66">
        <v>36.562</v>
      </c>
      <c r="H206" s="16">
        <v>0</v>
      </c>
      <c r="I206" s="16">
        <f>G206*AN206</f>
        <v>0</v>
      </c>
      <c r="J206" s="16">
        <f>G206*AO206</f>
        <v>0</v>
      </c>
      <c r="K206" s="16">
        <f>G206*H206</f>
        <v>0</v>
      </c>
      <c r="Y206" s="28">
        <f>IF(AP206="5",BI206,0)</f>
        <v>0</v>
      </c>
      <c r="AA206" s="28">
        <f>IF(AP206="1",BG206,0)</f>
        <v>0</v>
      </c>
      <c r="AB206" s="28">
        <f>IF(AP206="1",BH206,0)</f>
        <v>0</v>
      </c>
      <c r="AC206" s="28">
        <f>IF(AP206="7",BG206,0)</f>
        <v>0</v>
      </c>
      <c r="AD206" s="28">
        <f>IF(AP206="7",BH206,0)</f>
        <v>0</v>
      </c>
      <c r="AE206" s="28">
        <f>IF(AP206="2",BG206,0)</f>
        <v>0</v>
      </c>
      <c r="AF206" s="28">
        <f>IF(AP206="2",BH206,0)</f>
        <v>0</v>
      </c>
      <c r="AG206" s="28">
        <f>IF(AP206="0",BI206,0)</f>
        <v>0</v>
      </c>
      <c r="AH206" s="24"/>
      <c r="AI206" s="16">
        <f>IF(AM206=0,K206,0)</f>
        <v>0</v>
      </c>
      <c r="AJ206" s="16">
        <f>IF(AM206=15,K206,0)</f>
        <v>0</v>
      </c>
      <c r="AK206" s="16">
        <f>IF(AM206=21,K206,0)</f>
        <v>0</v>
      </c>
      <c r="AM206" s="28">
        <v>21</v>
      </c>
      <c r="AN206" s="28">
        <f>H206*0</f>
        <v>0</v>
      </c>
      <c r="AO206" s="28">
        <f>H206*(1-0)</f>
        <v>0</v>
      </c>
      <c r="AP206" s="23" t="s">
        <v>7</v>
      </c>
      <c r="AU206" s="28">
        <f>AV206+AW206</f>
        <v>0</v>
      </c>
      <c r="AV206" s="28">
        <f>G206*AN206</f>
        <v>0</v>
      </c>
      <c r="AW206" s="28">
        <f>G206*AO206</f>
        <v>0</v>
      </c>
      <c r="AX206" s="29" t="s">
        <v>591</v>
      </c>
      <c r="AY206" s="29" t="s">
        <v>606</v>
      </c>
      <c r="AZ206" s="24" t="s">
        <v>612</v>
      </c>
      <c r="BB206" s="28">
        <f>AV206+AW206</f>
        <v>0</v>
      </c>
      <c r="BC206" s="28">
        <f>H206/(100-BD206)*100</f>
        <v>0</v>
      </c>
      <c r="BD206" s="28">
        <v>0</v>
      </c>
      <c r="BE206" s="28">
        <f>206</f>
        <v>206</v>
      </c>
      <c r="BG206" s="16">
        <f>G206*AN206</f>
        <v>0</v>
      </c>
      <c r="BH206" s="16">
        <f>G206*AO206</f>
        <v>0</v>
      </c>
      <c r="BI206" s="16">
        <f>G206*H206</f>
        <v>0</v>
      </c>
    </row>
    <row r="207" spans="3:5" ht="12.75">
      <c r="C207" s="155" t="s">
        <v>395</v>
      </c>
      <c r="D207" s="156"/>
      <c r="E207" s="156"/>
    </row>
    <row r="208" spans="3:7" ht="12.75">
      <c r="C208" s="153" t="s">
        <v>248</v>
      </c>
      <c r="D208" s="154"/>
      <c r="E208" s="154"/>
      <c r="G208" s="67">
        <v>9.816</v>
      </c>
    </row>
    <row r="209" spans="3:7" ht="12.75">
      <c r="C209" s="153" t="s">
        <v>225</v>
      </c>
      <c r="D209" s="154"/>
      <c r="E209" s="154"/>
      <c r="G209" s="67">
        <v>27.18</v>
      </c>
    </row>
    <row r="210" spans="3:7" ht="12.75">
      <c r="C210" s="153" t="s">
        <v>226</v>
      </c>
      <c r="D210" s="154"/>
      <c r="E210" s="154"/>
      <c r="G210" s="67">
        <v>-10.154</v>
      </c>
    </row>
    <row r="211" spans="3:7" ht="12.75">
      <c r="C211" s="153" t="s">
        <v>231</v>
      </c>
      <c r="D211" s="154"/>
      <c r="E211" s="154"/>
      <c r="G211" s="67">
        <v>16.078</v>
      </c>
    </row>
    <row r="212" spans="3:7" ht="12.75">
      <c r="C212" s="153" t="s">
        <v>232</v>
      </c>
      <c r="D212" s="154"/>
      <c r="E212" s="154"/>
      <c r="G212" s="67">
        <v>-6.358</v>
      </c>
    </row>
    <row r="213" spans="1:61" ht="12.75">
      <c r="A213" s="76" t="s">
        <v>48</v>
      </c>
      <c r="B213" s="76" t="s">
        <v>146</v>
      </c>
      <c r="C213" s="160" t="s">
        <v>396</v>
      </c>
      <c r="D213" s="149"/>
      <c r="E213" s="149"/>
      <c r="F213" s="76" t="s">
        <v>552</v>
      </c>
      <c r="G213" s="77">
        <v>31.5</v>
      </c>
      <c r="H213" s="78">
        <v>0</v>
      </c>
      <c r="I213" s="78">
        <f>G213*AN213</f>
        <v>0</v>
      </c>
      <c r="J213" s="78">
        <f>G213*AO213</f>
        <v>0</v>
      </c>
      <c r="K213" s="78">
        <f>G213*H213</f>
        <v>0</v>
      </c>
      <c r="Y213" s="28">
        <f>IF(AP213="5",BI213,0)</f>
        <v>0</v>
      </c>
      <c r="AA213" s="28">
        <f>IF(AP213="1",BG213,0)</f>
        <v>0</v>
      </c>
      <c r="AB213" s="28">
        <f>IF(AP213="1",BH213,0)</f>
        <v>0</v>
      </c>
      <c r="AC213" s="28">
        <f>IF(AP213="7",BG213,0)</f>
        <v>0</v>
      </c>
      <c r="AD213" s="28">
        <f>IF(AP213="7",BH213,0)</f>
        <v>0</v>
      </c>
      <c r="AE213" s="28">
        <f>IF(AP213="2",BG213,0)</f>
        <v>0</v>
      </c>
      <c r="AF213" s="28">
        <f>IF(AP213="2",BH213,0)</f>
        <v>0</v>
      </c>
      <c r="AG213" s="28">
        <f>IF(AP213="0",BI213,0)</f>
        <v>0</v>
      </c>
      <c r="AH213" s="24"/>
      <c r="AI213" s="16">
        <f>IF(AM213=0,K213,0)</f>
        <v>0</v>
      </c>
      <c r="AJ213" s="16">
        <f>IF(AM213=15,K213,0)</f>
        <v>0</v>
      </c>
      <c r="AK213" s="16">
        <f>IF(AM213=21,K213,0)</f>
        <v>0</v>
      </c>
      <c r="AM213" s="28">
        <v>21</v>
      </c>
      <c r="AN213" s="28">
        <f>H213*0.0869888475836431</f>
        <v>0</v>
      </c>
      <c r="AO213" s="28">
        <f>H213*(1-0.0869888475836431)</f>
        <v>0</v>
      </c>
      <c r="AP213" s="23" t="s">
        <v>7</v>
      </c>
      <c r="AU213" s="28">
        <f>AV213+AW213</f>
        <v>0</v>
      </c>
      <c r="AV213" s="28">
        <f>G213*AN213</f>
        <v>0</v>
      </c>
      <c r="AW213" s="28">
        <f>G213*AO213</f>
        <v>0</v>
      </c>
      <c r="AX213" s="29" t="s">
        <v>591</v>
      </c>
      <c r="AY213" s="29" t="s">
        <v>606</v>
      </c>
      <c r="AZ213" s="24" t="s">
        <v>612</v>
      </c>
      <c r="BB213" s="28">
        <f>AV213+AW213</f>
        <v>0</v>
      </c>
      <c r="BC213" s="28">
        <f>H213/(100-BD213)*100</f>
        <v>0</v>
      </c>
      <c r="BD213" s="28">
        <v>0</v>
      </c>
      <c r="BE213" s="28">
        <f>213</f>
        <v>213</v>
      </c>
      <c r="BG213" s="16">
        <f>G213*AN213</f>
        <v>0</v>
      </c>
      <c r="BH213" s="16">
        <f>G213*AO213</f>
        <v>0</v>
      </c>
      <c r="BI213" s="16">
        <f>G213*H213</f>
        <v>0</v>
      </c>
    </row>
    <row r="214" spans="1:11" ht="12.75">
      <c r="A214" s="79"/>
      <c r="B214" s="79"/>
      <c r="C214" s="159" t="s">
        <v>238</v>
      </c>
      <c r="D214" s="154"/>
      <c r="E214" s="154"/>
      <c r="F214" s="79"/>
      <c r="G214" s="80">
        <v>0</v>
      </c>
      <c r="H214" s="79"/>
      <c r="I214" s="79"/>
      <c r="J214" s="79"/>
      <c r="K214" s="79"/>
    </row>
    <row r="215" spans="1:11" ht="12.75">
      <c r="A215" s="79"/>
      <c r="B215" s="79"/>
      <c r="C215" s="159" t="s">
        <v>239</v>
      </c>
      <c r="D215" s="154"/>
      <c r="E215" s="154"/>
      <c r="F215" s="79"/>
      <c r="G215" s="80">
        <v>1</v>
      </c>
      <c r="H215" s="79"/>
      <c r="I215" s="79"/>
      <c r="J215" s="79"/>
      <c r="K215" s="79"/>
    </row>
    <row r="216" spans="1:11" ht="12.75">
      <c r="A216" s="79"/>
      <c r="B216" s="79"/>
      <c r="C216" s="159" t="s">
        <v>397</v>
      </c>
      <c r="D216" s="154"/>
      <c r="E216" s="154"/>
      <c r="F216" s="79"/>
      <c r="G216" s="80">
        <v>0</v>
      </c>
      <c r="H216" s="79"/>
      <c r="I216" s="79"/>
      <c r="J216" s="79"/>
      <c r="K216" s="79"/>
    </row>
    <row r="217" spans="1:11" ht="12.75">
      <c r="A217" s="79"/>
      <c r="B217" s="79"/>
      <c r="C217" s="159" t="s">
        <v>398</v>
      </c>
      <c r="D217" s="154"/>
      <c r="E217" s="154"/>
      <c r="F217" s="79"/>
      <c r="G217" s="80">
        <v>0</v>
      </c>
      <c r="H217" s="79"/>
      <c r="I217" s="79"/>
      <c r="J217" s="79"/>
      <c r="K217" s="79"/>
    </row>
    <row r="218" spans="1:11" ht="12.75">
      <c r="A218" s="79"/>
      <c r="B218" s="79"/>
      <c r="C218" s="159" t="s">
        <v>399</v>
      </c>
      <c r="D218" s="154"/>
      <c r="E218" s="154"/>
      <c r="F218" s="79"/>
      <c r="G218" s="80">
        <v>5</v>
      </c>
      <c r="H218" s="79"/>
      <c r="I218" s="79"/>
      <c r="J218" s="79"/>
      <c r="K218" s="79"/>
    </row>
    <row r="219" spans="1:11" ht="12.75">
      <c r="A219" s="79"/>
      <c r="B219" s="79"/>
      <c r="C219" s="159" t="s">
        <v>400</v>
      </c>
      <c r="D219" s="154"/>
      <c r="E219" s="154"/>
      <c r="F219" s="79"/>
      <c r="G219" s="80">
        <v>21</v>
      </c>
      <c r="H219" s="79"/>
      <c r="I219" s="79"/>
      <c r="J219" s="79"/>
      <c r="K219" s="79"/>
    </row>
    <row r="220" spans="1:11" ht="12.75">
      <c r="A220" s="79"/>
      <c r="B220" s="79"/>
      <c r="C220" s="159" t="s">
        <v>401</v>
      </c>
      <c r="D220" s="154"/>
      <c r="E220" s="154"/>
      <c r="F220" s="79"/>
      <c r="G220" s="80">
        <v>2.5</v>
      </c>
      <c r="H220" s="79"/>
      <c r="I220" s="79"/>
      <c r="J220" s="79"/>
      <c r="K220" s="79"/>
    </row>
    <row r="221" spans="1:11" ht="12.75">
      <c r="A221" s="79"/>
      <c r="B221" s="79"/>
      <c r="C221" s="159" t="s">
        <v>402</v>
      </c>
      <c r="D221" s="154"/>
      <c r="E221" s="154"/>
      <c r="F221" s="79"/>
      <c r="G221" s="80">
        <v>2</v>
      </c>
      <c r="H221" s="79"/>
      <c r="I221" s="79"/>
      <c r="J221" s="79"/>
      <c r="K221" s="79"/>
    </row>
    <row r="222" spans="1:61" ht="12.75">
      <c r="A222" s="4" t="s">
        <v>49</v>
      </c>
      <c r="B222" s="4" t="s">
        <v>147</v>
      </c>
      <c r="C222" s="148" t="s">
        <v>403</v>
      </c>
      <c r="D222" s="149"/>
      <c r="E222" s="149"/>
      <c r="F222" s="4" t="s">
        <v>552</v>
      </c>
      <c r="G222" s="66">
        <v>15</v>
      </c>
      <c r="H222" s="16">
        <v>0</v>
      </c>
      <c r="I222" s="16">
        <f>G222*AN222</f>
        <v>0</v>
      </c>
      <c r="J222" s="16">
        <f>G222*AO222</f>
        <v>0</v>
      </c>
      <c r="K222" s="16">
        <f>G222*H222</f>
        <v>0</v>
      </c>
      <c r="Y222" s="28">
        <f>IF(AP222="5",BI222,0)</f>
        <v>0</v>
      </c>
      <c r="AA222" s="28">
        <f>IF(AP222="1",BG222,0)</f>
        <v>0</v>
      </c>
      <c r="AB222" s="28">
        <f>IF(AP222="1",BH222,0)</f>
        <v>0</v>
      </c>
      <c r="AC222" s="28">
        <f>IF(AP222="7",BG222,0)</f>
        <v>0</v>
      </c>
      <c r="AD222" s="28">
        <f>IF(AP222="7",BH222,0)</f>
        <v>0</v>
      </c>
      <c r="AE222" s="28">
        <f>IF(AP222="2",BG222,0)</f>
        <v>0</v>
      </c>
      <c r="AF222" s="28">
        <f>IF(AP222="2",BH222,0)</f>
        <v>0</v>
      </c>
      <c r="AG222" s="28">
        <f>IF(AP222="0",BI222,0)</f>
        <v>0</v>
      </c>
      <c r="AH222" s="24"/>
      <c r="AI222" s="16">
        <f>IF(AM222=0,K222,0)</f>
        <v>0</v>
      </c>
      <c r="AJ222" s="16">
        <f>IF(AM222=15,K222,0)</f>
        <v>0</v>
      </c>
      <c r="AK222" s="16">
        <f>IF(AM222=21,K222,0)</f>
        <v>0</v>
      </c>
      <c r="AM222" s="28">
        <v>21</v>
      </c>
      <c r="AN222" s="28">
        <f>H222*0.0522321428571429</f>
        <v>0</v>
      </c>
      <c r="AO222" s="28">
        <f>H222*(1-0.0522321428571429)</f>
        <v>0</v>
      </c>
      <c r="AP222" s="23" t="s">
        <v>7</v>
      </c>
      <c r="AU222" s="28">
        <f>AV222+AW222</f>
        <v>0</v>
      </c>
      <c r="AV222" s="28">
        <f>G222*AN222</f>
        <v>0</v>
      </c>
      <c r="AW222" s="28">
        <f>G222*AO222</f>
        <v>0</v>
      </c>
      <c r="AX222" s="29" t="s">
        <v>591</v>
      </c>
      <c r="AY222" s="29" t="s">
        <v>606</v>
      </c>
      <c r="AZ222" s="24" t="s">
        <v>612</v>
      </c>
      <c r="BB222" s="28">
        <f>AV222+AW222</f>
        <v>0</v>
      </c>
      <c r="BC222" s="28">
        <f>H222/(100-BD222)*100</f>
        <v>0</v>
      </c>
      <c r="BD222" s="28">
        <v>0</v>
      </c>
      <c r="BE222" s="28">
        <f>222</f>
        <v>222</v>
      </c>
      <c r="BG222" s="16">
        <f>G222*AN222</f>
        <v>0</v>
      </c>
      <c r="BH222" s="16">
        <f>G222*AO222</f>
        <v>0</v>
      </c>
      <c r="BI222" s="16">
        <f>G222*H222</f>
        <v>0</v>
      </c>
    </row>
    <row r="223" spans="3:7" ht="12.75">
      <c r="C223" s="153" t="s">
        <v>404</v>
      </c>
      <c r="D223" s="154"/>
      <c r="E223" s="154"/>
      <c r="G223" s="67">
        <v>0</v>
      </c>
    </row>
    <row r="224" spans="3:7" ht="12.75">
      <c r="C224" s="153" t="s">
        <v>405</v>
      </c>
      <c r="D224" s="154"/>
      <c r="E224" s="154"/>
      <c r="G224" s="67">
        <v>1</v>
      </c>
    </row>
    <row r="225" spans="3:7" ht="12.75">
      <c r="C225" s="153" t="s">
        <v>406</v>
      </c>
      <c r="D225" s="154"/>
      <c r="E225" s="154"/>
      <c r="G225" s="67">
        <v>0</v>
      </c>
    </row>
    <row r="226" spans="3:7" ht="12.75">
      <c r="C226" s="153" t="s">
        <v>407</v>
      </c>
      <c r="D226" s="154"/>
      <c r="E226" s="154"/>
      <c r="G226" s="67">
        <v>4.5</v>
      </c>
    </row>
    <row r="227" spans="3:7" ht="12.75">
      <c r="C227" s="153" t="s">
        <v>408</v>
      </c>
      <c r="D227" s="154"/>
      <c r="E227" s="154"/>
      <c r="G227" s="67">
        <v>9.5</v>
      </c>
    </row>
    <row r="228" spans="1:61" ht="12.75">
      <c r="A228" s="4" t="s">
        <v>50</v>
      </c>
      <c r="B228" s="4" t="s">
        <v>148</v>
      </c>
      <c r="C228" s="148" t="s">
        <v>409</v>
      </c>
      <c r="D228" s="149"/>
      <c r="E228" s="149"/>
      <c r="F228" s="4" t="s">
        <v>551</v>
      </c>
      <c r="G228" s="66">
        <v>5.847</v>
      </c>
      <c r="H228" s="16">
        <v>0</v>
      </c>
      <c r="I228" s="16">
        <f>G228*AN228</f>
        <v>0</v>
      </c>
      <c r="J228" s="16">
        <f>G228*AO228</f>
        <v>0</v>
      </c>
      <c r="K228" s="16">
        <f>G228*H228</f>
        <v>0</v>
      </c>
      <c r="Y228" s="28">
        <f>IF(AP228="5",BI228,0)</f>
        <v>0</v>
      </c>
      <c r="AA228" s="28">
        <f>IF(AP228="1",BG228,0)</f>
        <v>0</v>
      </c>
      <c r="AB228" s="28">
        <f>IF(AP228="1",BH228,0)</f>
        <v>0</v>
      </c>
      <c r="AC228" s="28">
        <f>IF(AP228="7",BG228,0)</f>
        <v>0</v>
      </c>
      <c r="AD228" s="28">
        <f>IF(AP228="7",BH228,0)</f>
        <v>0</v>
      </c>
      <c r="AE228" s="28">
        <f>IF(AP228="2",BG228,0)</f>
        <v>0</v>
      </c>
      <c r="AF228" s="28">
        <f>IF(AP228="2",BH228,0)</f>
        <v>0</v>
      </c>
      <c r="AG228" s="28">
        <f>IF(AP228="0",BI228,0)</f>
        <v>0</v>
      </c>
      <c r="AH228" s="24"/>
      <c r="AI228" s="16">
        <f>IF(AM228=0,K228,0)</f>
        <v>0</v>
      </c>
      <c r="AJ228" s="16">
        <f>IF(AM228=15,K228,0)</f>
        <v>0</v>
      </c>
      <c r="AK228" s="16">
        <f>IF(AM228=21,K228,0)</f>
        <v>0</v>
      </c>
      <c r="AM228" s="28">
        <v>21</v>
      </c>
      <c r="AN228" s="28">
        <f>H228*0</f>
        <v>0</v>
      </c>
      <c r="AO228" s="28">
        <f>H228*(1-0)</f>
        <v>0</v>
      </c>
      <c r="AP228" s="23" t="s">
        <v>7</v>
      </c>
      <c r="AU228" s="28">
        <f>AV228+AW228</f>
        <v>0</v>
      </c>
      <c r="AV228" s="28">
        <f>G228*AN228</f>
        <v>0</v>
      </c>
      <c r="AW228" s="28">
        <f>G228*AO228</f>
        <v>0</v>
      </c>
      <c r="AX228" s="29" t="s">
        <v>591</v>
      </c>
      <c r="AY228" s="29" t="s">
        <v>606</v>
      </c>
      <c r="AZ228" s="24" t="s">
        <v>612</v>
      </c>
      <c r="BB228" s="28">
        <f>AV228+AW228</f>
        <v>0</v>
      </c>
      <c r="BC228" s="28">
        <f>H228/(100-BD228)*100</f>
        <v>0</v>
      </c>
      <c r="BD228" s="28">
        <v>0</v>
      </c>
      <c r="BE228" s="28">
        <f>228</f>
        <v>228</v>
      </c>
      <c r="BG228" s="16">
        <f>G228*AN228</f>
        <v>0</v>
      </c>
      <c r="BH228" s="16">
        <f>G228*AO228</f>
        <v>0</v>
      </c>
      <c r="BI228" s="16">
        <f>G228*H228</f>
        <v>0</v>
      </c>
    </row>
    <row r="229" spans="3:7" ht="12.75">
      <c r="C229" s="153" t="s">
        <v>264</v>
      </c>
      <c r="D229" s="154"/>
      <c r="E229" s="154"/>
      <c r="G229" s="67">
        <v>0</v>
      </c>
    </row>
    <row r="230" spans="3:7" ht="12.75">
      <c r="C230" s="153" t="s">
        <v>234</v>
      </c>
      <c r="D230" s="154"/>
      <c r="E230" s="154"/>
      <c r="G230" s="67">
        <v>1.476</v>
      </c>
    </row>
    <row r="231" spans="3:7" ht="12.75">
      <c r="C231" s="153" t="s">
        <v>410</v>
      </c>
      <c r="D231" s="154"/>
      <c r="E231" s="154"/>
      <c r="G231" s="67">
        <v>4.371</v>
      </c>
    </row>
    <row r="232" spans="1:61" ht="12.75">
      <c r="A232" s="4" t="s">
        <v>51</v>
      </c>
      <c r="B232" s="4" t="s">
        <v>149</v>
      </c>
      <c r="C232" s="148" t="s">
        <v>411</v>
      </c>
      <c r="D232" s="149"/>
      <c r="E232" s="149"/>
      <c r="F232" s="4" t="s">
        <v>552</v>
      </c>
      <c r="G232" s="66">
        <v>4.1</v>
      </c>
      <c r="H232" s="16">
        <v>0</v>
      </c>
      <c r="I232" s="16">
        <f>G232*AN232</f>
        <v>0</v>
      </c>
      <c r="J232" s="16">
        <f>G232*AO232</f>
        <v>0</v>
      </c>
      <c r="K232" s="16">
        <f>G232*H232</f>
        <v>0</v>
      </c>
      <c r="Y232" s="28">
        <f>IF(AP232="5",BI232,0)</f>
        <v>0</v>
      </c>
      <c r="AA232" s="28">
        <f>IF(AP232="1",BG232,0)</f>
        <v>0</v>
      </c>
      <c r="AB232" s="28">
        <f>IF(AP232="1",BH232,0)</f>
        <v>0</v>
      </c>
      <c r="AC232" s="28">
        <f>IF(AP232="7",BG232,0)</f>
        <v>0</v>
      </c>
      <c r="AD232" s="28">
        <f>IF(AP232="7",BH232,0)</f>
        <v>0</v>
      </c>
      <c r="AE232" s="28">
        <f>IF(AP232="2",BG232,0)</f>
        <v>0</v>
      </c>
      <c r="AF232" s="28">
        <f>IF(AP232="2",BH232,0)</f>
        <v>0</v>
      </c>
      <c r="AG232" s="28">
        <f>IF(AP232="0",BI232,0)</f>
        <v>0</v>
      </c>
      <c r="AH232" s="24"/>
      <c r="AI232" s="16">
        <f>IF(AM232=0,K232,0)</f>
        <v>0</v>
      </c>
      <c r="AJ232" s="16">
        <f>IF(AM232=15,K232,0)</f>
        <v>0</v>
      </c>
      <c r="AK232" s="16">
        <f>IF(AM232=21,K232,0)</f>
        <v>0</v>
      </c>
      <c r="AM232" s="28">
        <v>21</v>
      </c>
      <c r="AN232" s="28">
        <f>H232*0.0247357293868922</f>
        <v>0</v>
      </c>
      <c r="AO232" s="28">
        <f>H232*(1-0.0247357293868922)</f>
        <v>0</v>
      </c>
      <c r="AP232" s="23" t="s">
        <v>7</v>
      </c>
      <c r="AU232" s="28">
        <f>AV232+AW232</f>
        <v>0</v>
      </c>
      <c r="AV232" s="28">
        <f>G232*AN232</f>
        <v>0</v>
      </c>
      <c r="AW232" s="28">
        <f>G232*AO232</f>
        <v>0</v>
      </c>
      <c r="AX232" s="29" t="s">
        <v>591</v>
      </c>
      <c r="AY232" s="29" t="s">
        <v>606</v>
      </c>
      <c r="AZ232" s="24" t="s">
        <v>612</v>
      </c>
      <c r="BB232" s="28">
        <f>AV232+AW232</f>
        <v>0</v>
      </c>
      <c r="BC232" s="28">
        <f>H232/(100-BD232)*100</f>
        <v>0</v>
      </c>
      <c r="BD232" s="28">
        <v>0</v>
      </c>
      <c r="BE232" s="28">
        <f>232</f>
        <v>232</v>
      </c>
      <c r="BG232" s="16">
        <f>G232*AN232</f>
        <v>0</v>
      </c>
      <c r="BH232" s="16">
        <f>G232*AO232</f>
        <v>0</v>
      </c>
      <c r="BI232" s="16">
        <f>G232*H232</f>
        <v>0</v>
      </c>
    </row>
    <row r="233" spans="3:7" ht="12.75">
      <c r="C233" s="153" t="s">
        <v>288</v>
      </c>
      <c r="D233" s="154"/>
      <c r="E233" s="154"/>
      <c r="G233" s="67">
        <v>4.1</v>
      </c>
    </row>
    <row r="234" spans="1:61" ht="12.75">
      <c r="A234" s="4" t="s">
        <v>52</v>
      </c>
      <c r="B234" s="4" t="s">
        <v>150</v>
      </c>
      <c r="C234" s="148" t="s">
        <v>412</v>
      </c>
      <c r="D234" s="149"/>
      <c r="E234" s="149"/>
      <c r="F234" s="4" t="s">
        <v>552</v>
      </c>
      <c r="G234" s="66">
        <v>1.8</v>
      </c>
      <c r="H234" s="16">
        <v>0</v>
      </c>
      <c r="I234" s="16">
        <f>G234*AN234</f>
        <v>0</v>
      </c>
      <c r="J234" s="16">
        <f>G234*AO234</f>
        <v>0</v>
      </c>
      <c r="K234" s="16">
        <f>G234*H234</f>
        <v>0</v>
      </c>
      <c r="Y234" s="28">
        <f>IF(AP234="5",BI234,0)</f>
        <v>0</v>
      </c>
      <c r="AA234" s="28">
        <f>IF(AP234="1",BG234,0)</f>
        <v>0</v>
      </c>
      <c r="AB234" s="28">
        <f>IF(AP234="1",BH234,0)</f>
        <v>0</v>
      </c>
      <c r="AC234" s="28">
        <f>IF(AP234="7",BG234,0)</f>
        <v>0</v>
      </c>
      <c r="AD234" s="28">
        <f>IF(AP234="7",BH234,0)</f>
        <v>0</v>
      </c>
      <c r="AE234" s="28">
        <f>IF(AP234="2",BG234,0)</f>
        <v>0</v>
      </c>
      <c r="AF234" s="28">
        <f>IF(AP234="2",BH234,0)</f>
        <v>0</v>
      </c>
      <c r="AG234" s="28">
        <f>IF(AP234="0",BI234,0)</f>
        <v>0</v>
      </c>
      <c r="AH234" s="24"/>
      <c r="AI234" s="16">
        <f>IF(AM234=0,K234,0)</f>
        <v>0</v>
      </c>
      <c r="AJ234" s="16">
        <f>IF(AM234=15,K234,0)</f>
        <v>0</v>
      </c>
      <c r="AK234" s="16">
        <f>IF(AM234=21,K234,0)</f>
        <v>0</v>
      </c>
      <c r="AM234" s="28">
        <v>21</v>
      </c>
      <c r="AN234" s="28">
        <f>H234*0</f>
        <v>0</v>
      </c>
      <c r="AO234" s="28">
        <f>H234*(1-0)</f>
        <v>0</v>
      </c>
      <c r="AP234" s="23" t="s">
        <v>7</v>
      </c>
      <c r="AU234" s="28">
        <f>AV234+AW234</f>
        <v>0</v>
      </c>
      <c r="AV234" s="28">
        <f>G234*AN234</f>
        <v>0</v>
      </c>
      <c r="AW234" s="28">
        <f>G234*AO234</f>
        <v>0</v>
      </c>
      <c r="AX234" s="29" t="s">
        <v>591</v>
      </c>
      <c r="AY234" s="29" t="s">
        <v>606</v>
      </c>
      <c r="AZ234" s="24" t="s">
        <v>612</v>
      </c>
      <c r="BB234" s="28">
        <f>AV234+AW234</f>
        <v>0</v>
      </c>
      <c r="BC234" s="28">
        <f>H234/(100-BD234)*100</f>
        <v>0</v>
      </c>
      <c r="BD234" s="28">
        <v>0</v>
      </c>
      <c r="BE234" s="28">
        <f>234</f>
        <v>234</v>
      </c>
      <c r="BG234" s="16">
        <f>G234*AN234</f>
        <v>0</v>
      </c>
      <c r="BH234" s="16">
        <f>G234*AO234</f>
        <v>0</v>
      </c>
      <c r="BI234" s="16">
        <f>G234*H234</f>
        <v>0</v>
      </c>
    </row>
    <row r="235" spans="3:7" ht="12.75">
      <c r="C235" s="153" t="s">
        <v>413</v>
      </c>
      <c r="D235" s="154"/>
      <c r="E235" s="154"/>
      <c r="G235" s="67">
        <v>0</v>
      </c>
    </row>
    <row r="236" spans="3:7" ht="12.75">
      <c r="C236" s="153" t="s">
        <v>278</v>
      </c>
      <c r="D236" s="154"/>
      <c r="E236" s="154"/>
      <c r="G236" s="67">
        <v>0</v>
      </c>
    </row>
    <row r="237" spans="3:7" ht="12.75">
      <c r="C237" s="153" t="s">
        <v>414</v>
      </c>
      <c r="D237" s="154"/>
      <c r="E237" s="154"/>
      <c r="G237" s="67">
        <v>1.8</v>
      </c>
    </row>
    <row r="238" spans="1:61" ht="12.75">
      <c r="A238" s="4" t="s">
        <v>53</v>
      </c>
      <c r="B238" s="4" t="s">
        <v>151</v>
      </c>
      <c r="C238" s="148" t="s">
        <v>415</v>
      </c>
      <c r="D238" s="149"/>
      <c r="E238" s="149"/>
      <c r="F238" s="4" t="s">
        <v>552</v>
      </c>
      <c r="G238" s="66">
        <v>4.4</v>
      </c>
      <c r="H238" s="16">
        <v>0</v>
      </c>
      <c r="I238" s="16">
        <f>G238*AN238</f>
        <v>0</v>
      </c>
      <c r="J238" s="16">
        <f>G238*AO238</f>
        <v>0</v>
      </c>
      <c r="K238" s="16">
        <f>G238*H238</f>
        <v>0</v>
      </c>
      <c r="Y238" s="28">
        <f>IF(AP238="5",BI238,0)</f>
        <v>0</v>
      </c>
      <c r="AA238" s="28">
        <f>IF(AP238="1",BG238,0)</f>
        <v>0</v>
      </c>
      <c r="AB238" s="28">
        <f>IF(AP238="1",BH238,0)</f>
        <v>0</v>
      </c>
      <c r="AC238" s="28">
        <f>IF(AP238="7",BG238,0)</f>
        <v>0</v>
      </c>
      <c r="AD238" s="28">
        <f>IF(AP238="7",BH238,0)</f>
        <v>0</v>
      </c>
      <c r="AE238" s="28">
        <f>IF(AP238="2",BG238,0)</f>
        <v>0</v>
      </c>
      <c r="AF238" s="28">
        <f>IF(AP238="2",BH238,0)</f>
        <v>0</v>
      </c>
      <c r="AG238" s="28">
        <f>IF(AP238="0",BI238,0)</f>
        <v>0</v>
      </c>
      <c r="AH238" s="24"/>
      <c r="AI238" s="16">
        <f>IF(AM238=0,K238,0)</f>
        <v>0</v>
      </c>
      <c r="AJ238" s="16">
        <f>IF(AM238=15,K238,0)</f>
        <v>0</v>
      </c>
      <c r="AK238" s="16">
        <f>IF(AM238=21,K238,0)</f>
        <v>0</v>
      </c>
      <c r="AM238" s="28">
        <v>21</v>
      </c>
      <c r="AN238" s="28">
        <f>H238*0</f>
        <v>0</v>
      </c>
      <c r="AO238" s="28">
        <f>H238*(1-0)</f>
        <v>0</v>
      </c>
      <c r="AP238" s="23" t="s">
        <v>7</v>
      </c>
      <c r="AU238" s="28">
        <f>AV238+AW238</f>
        <v>0</v>
      </c>
      <c r="AV238" s="28">
        <f>G238*AN238</f>
        <v>0</v>
      </c>
      <c r="AW238" s="28">
        <f>G238*AO238</f>
        <v>0</v>
      </c>
      <c r="AX238" s="29" t="s">
        <v>591</v>
      </c>
      <c r="AY238" s="29" t="s">
        <v>606</v>
      </c>
      <c r="AZ238" s="24" t="s">
        <v>612</v>
      </c>
      <c r="BB238" s="28">
        <f>AV238+AW238</f>
        <v>0</v>
      </c>
      <c r="BC238" s="28">
        <f>H238/(100-BD238)*100</f>
        <v>0</v>
      </c>
      <c r="BD238" s="28">
        <v>0</v>
      </c>
      <c r="BE238" s="28">
        <f>238</f>
        <v>238</v>
      </c>
      <c r="BG238" s="16">
        <f>G238*AN238</f>
        <v>0</v>
      </c>
      <c r="BH238" s="16">
        <f>G238*AO238</f>
        <v>0</v>
      </c>
      <c r="BI238" s="16">
        <f>G238*H238</f>
        <v>0</v>
      </c>
    </row>
    <row r="239" spans="3:7" ht="12.75">
      <c r="C239" s="153" t="s">
        <v>416</v>
      </c>
      <c r="D239" s="154"/>
      <c r="E239" s="154"/>
      <c r="G239" s="67">
        <v>0</v>
      </c>
    </row>
    <row r="240" spans="3:7" ht="12.75">
      <c r="C240" s="153" t="s">
        <v>278</v>
      </c>
      <c r="D240" s="154"/>
      <c r="E240" s="154"/>
      <c r="G240" s="67">
        <v>0</v>
      </c>
    </row>
    <row r="241" spans="3:7" ht="12.75">
      <c r="C241" s="153" t="s">
        <v>417</v>
      </c>
      <c r="D241" s="154"/>
      <c r="E241" s="154"/>
      <c r="G241" s="67">
        <v>4.4</v>
      </c>
    </row>
    <row r="242" spans="1:46" ht="12.75">
      <c r="A242" s="5"/>
      <c r="B242" s="13" t="s">
        <v>152</v>
      </c>
      <c r="C242" s="157" t="s">
        <v>418</v>
      </c>
      <c r="D242" s="158"/>
      <c r="E242" s="158"/>
      <c r="F242" s="5" t="s">
        <v>6</v>
      </c>
      <c r="G242" s="5" t="s">
        <v>6</v>
      </c>
      <c r="H242" s="5" t="s">
        <v>6</v>
      </c>
      <c r="I242" s="31">
        <f>SUM(I243:I243)</f>
        <v>0</v>
      </c>
      <c r="J242" s="31">
        <f>SUM(J243:J243)</f>
        <v>0</v>
      </c>
      <c r="K242" s="31">
        <f>SUM(K243:K243)</f>
        <v>0</v>
      </c>
      <c r="AH242" s="24"/>
      <c r="AR242" s="31">
        <f>SUM(AI243:AI243)</f>
        <v>0</v>
      </c>
      <c r="AS242" s="31">
        <f>SUM(AJ243:AJ243)</f>
        <v>0</v>
      </c>
      <c r="AT242" s="31">
        <f>SUM(AK243:AK243)</f>
        <v>0</v>
      </c>
    </row>
    <row r="243" spans="1:61" ht="12.75">
      <c r="A243" s="4" t="s">
        <v>54</v>
      </c>
      <c r="B243" s="4" t="s">
        <v>153</v>
      </c>
      <c r="C243" s="148" t="s">
        <v>419</v>
      </c>
      <c r="D243" s="149"/>
      <c r="E243" s="149"/>
      <c r="F243" s="4" t="s">
        <v>556</v>
      </c>
      <c r="G243" s="66">
        <v>5.759</v>
      </c>
      <c r="H243" s="16">
        <v>0</v>
      </c>
      <c r="I243" s="16">
        <f>G243*AN243</f>
        <v>0</v>
      </c>
      <c r="J243" s="16">
        <f>G243*AO243</f>
        <v>0</v>
      </c>
      <c r="K243" s="16">
        <f>G243*H243</f>
        <v>0</v>
      </c>
      <c r="Y243" s="28">
        <f>IF(AP243="5",BI243,0)</f>
        <v>0</v>
      </c>
      <c r="AA243" s="28">
        <f>IF(AP243="1",BG243,0)</f>
        <v>0</v>
      </c>
      <c r="AB243" s="28">
        <f>IF(AP243="1",BH243,0)</f>
        <v>0</v>
      </c>
      <c r="AC243" s="28">
        <f>IF(AP243="7",BG243,0)</f>
        <v>0</v>
      </c>
      <c r="AD243" s="28">
        <f>IF(AP243="7",BH243,0)</f>
        <v>0</v>
      </c>
      <c r="AE243" s="28">
        <f>IF(AP243="2",BG243,0)</f>
        <v>0</v>
      </c>
      <c r="AF243" s="28">
        <f>IF(AP243="2",BH243,0)</f>
        <v>0</v>
      </c>
      <c r="AG243" s="28">
        <f>IF(AP243="0",BI243,0)</f>
        <v>0</v>
      </c>
      <c r="AH243" s="24"/>
      <c r="AI243" s="16">
        <f>IF(AM243=0,K243,0)</f>
        <v>0</v>
      </c>
      <c r="AJ243" s="16">
        <f>IF(AM243=15,K243,0)</f>
        <v>0</v>
      </c>
      <c r="AK243" s="16">
        <f>IF(AM243=21,K243,0)</f>
        <v>0</v>
      </c>
      <c r="AM243" s="28">
        <v>21</v>
      </c>
      <c r="AN243" s="28">
        <f>H243*0</f>
        <v>0</v>
      </c>
      <c r="AO243" s="28">
        <f>H243*(1-0)</f>
        <v>0</v>
      </c>
      <c r="AP243" s="23" t="s">
        <v>11</v>
      </c>
      <c r="AU243" s="28">
        <f>AV243+AW243</f>
        <v>0</v>
      </c>
      <c r="AV243" s="28">
        <f>G243*AN243</f>
        <v>0</v>
      </c>
      <c r="AW243" s="28">
        <f>G243*AO243</f>
        <v>0</v>
      </c>
      <c r="AX243" s="29" t="s">
        <v>592</v>
      </c>
      <c r="AY243" s="29" t="s">
        <v>606</v>
      </c>
      <c r="AZ243" s="24" t="s">
        <v>612</v>
      </c>
      <c r="BB243" s="28">
        <f>AV243+AW243</f>
        <v>0</v>
      </c>
      <c r="BC243" s="28">
        <f>H243/(100-BD243)*100</f>
        <v>0</v>
      </c>
      <c r="BD243" s="28">
        <v>0</v>
      </c>
      <c r="BE243" s="28">
        <f>243</f>
        <v>243</v>
      </c>
      <c r="BG243" s="16">
        <f>G243*AN243</f>
        <v>0</v>
      </c>
      <c r="BH243" s="16">
        <f>G243*AO243</f>
        <v>0</v>
      </c>
      <c r="BI243" s="16">
        <f>G243*H243</f>
        <v>0</v>
      </c>
    </row>
    <row r="244" spans="1:46" ht="12.75">
      <c r="A244" s="5"/>
      <c r="B244" s="13" t="s">
        <v>154</v>
      </c>
      <c r="C244" s="157" t="s">
        <v>420</v>
      </c>
      <c r="D244" s="158"/>
      <c r="E244" s="158"/>
      <c r="F244" s="5" t="s">
        <v>6</v>
      </c>
      <c r="G244" s="5" t="s">
        <v>6</v>
      </c>
      <c r="H244" s="5" t="s">
        <v>6</v>
      </c>
      <c r="I244" s="31">
        <f>SUM(I245:I254)</f>
        <v>0</v>
      </c>
      <c r="J244" s="31">
        <f>SUM(J245:J254)</f>
        <v>0</v>
      </c>
      <c r="K244" s="31">
        <f>SUM(K245:K254)</f>
        <v>0</v>
      </c>
      <c r="AH244" s="24"/>
      <c r="AR244" s="31">
        <f>SUM(AI245:AI254)</f>
        <v>0</v>
      </c>
      <c r="AS244" s="31">
        <f>SUM(AJ245:AJ254)</f>
        <v>0</v>
      </c>
      <c r="AT244" s="31">
        <f>SUM(AK245:AK254)</f>
        <v>0</v>
      </c>
    </row>
    <row r="245" spans="1:61" ht="12.75">
      <c r="A245" s="4" t="s">
        <v>55</v>
      </c>
      <c r="B245" s="4" t="s">
        <v>155</v>
      </c>
      <c r="C245" s="148" t="s">
        <v>421</v>
      </c>
      <c r="D245" s="149"/>
      <c r="E245" s="149"/>
      <c r="F245" s="4" t="s">
        <v>556</v>
      </c>
      <c r="G245" s="66">
        <v>8.002</v>
      </c>
      <c r="H245" s="16">
        <v>0</v>
      </c>
      <c r="I245" s="16">
        <f>G245*AN245</f>
        <v>0</v>
      </c>
      <c r="J245" s="16">
        <f>G245*AO245</f>
        <v>0</v>
      </c>
      <c r="K245" s="16">
        <f>G245*H245</f>
        <v>0</v>
      </c>
      <c r="Y245" s="28">
        <f>IF(AP245="5",BI245,0)</f>
        <v>0</v>
      </c>
      <c r="AA245" s="28">
        <f>IF(AP245="1",BG245,0)</f>
        <v>0</v>
      </c>
      <c r="AB245" s="28">
        <f>IF(AP245="1",BH245,0)</f>
        <v>0</v>
      </c>
      <c r="AC245" s="28">
        <f>IF(AP245="7",BG245,0)</f>
        <v>0</v>
      </c>
      <c r="AD245" s="28">
        <f>IF(AP245="7",BH245,0)</f>
        <v>0</v>
      </c>
      <c r="AE245" s="28">
        <f>IF(AP245="2",BG245,0)</f>
        <v>0</v>
      </c>
      <c r="AF245" s="28">
        <f>IF(AP245="2",BH245,0)</f>
        <v>0</v>
      </c>
      <c r="AG245" s="28">
        <f>IF(AP245="0",BI245,0)</f>
        <v>0</v>
      </c>
      <c r="AH245" s="24"/>
      <c r="AI245" s="16">
        <f>IF(AM245=0,K245,0)</f>
        <v>0</v>
      </c>
      <c r="AJ245" s="16">
        <f>IF(AM245=15,K245,0)</f>
        <v>0</v>
      </c>
      <c r="AK245" s="16">
        <f>IF(AM245=21,K245,0)</f>
        <v>0</v>
      </c>
      <c r="AM245" s="28">
        <v>21</v>
      </c>
      <c r="AN245" s="28">
        <f>H245*0</f>
        <v>0</v>
      </c>
      <c r="AO245" s="28">
        <f>H245*(1-0)</f>
        <v>0</v>
      </c>
      <c r="AP245" s="23" t="s">
        <v>11</v>
      </c>
      <c r="AU245" s="28">
        <f>AV245+AW245</f>
        <v>0</v>
      </c>
      <c r="AV245" s="28">
        <f>G245*AN245</f>
        <v>0</v>
      </c>
      <c r="AW245" s="28">
        <f>G245*AO245</f>
        <v>0</v>
      </c>
      <c r="AX245" s="29" t="s">
        <v>593</v>
      </c>
      <c r="AY245" s="29" t="s">
        <v>606</v>
      </c>
      <c r="AZ245" s="24" t="s">
        <v>612</v>
      </c>
      <c r="BB245" s="28">
        <f>AV245+AW245</f>
        <v>0</v>
      </c>
      <c r="BC245" s="28">
        <f>H245/(100-BD245)*100</f>
        <v>0</v>
      </c>
      <c r="BD245" s="28">
        <v>0</v>
      </c>
      <c r="BE245" s="28">
        <f>245</f>
        <v>245</v>
      </c>
      <c r="BG245" s="16">
        <f>G245*AN245</f>
        <v>0</v>
      </c>
      <c r="BH245" s="16">
        <f>G245*AO245</f>
        <v>0</v>
      </c>
      <c r="BI245" s="16">
        <f>G245*H245</f>
        <v>0</v>
      </c>
    </row>
    <row r="246" spans="1:61" ht="12.75">
      <c r="A246" s="4" t="s">
        <v>56</v>
      </c>
      <c r="B246" s="4" t="s">
        <v>156</v>
      </c>
      <c r="C246" s="148" t="s">
        <v>422</v>
      </c>
      <c r="D246" s="149"/>
      <c r="E246" s="149"/>
      <c r="F246" s="4" t="s">
        <v>556</v>
      </c>
      <c r="G246" s="66">
        <v>8.002</v>
      </c>
      <c r="H246" s="16">
        <v>0</v>
      </c>
      <c r="I246" s="16">
        <f>G246*AN246</f>
        <v>0</v>
      </c>
      <c r="J246" s="16">
        <f>G246*AO246</f>
        <v>0</v>
      </c>
      <c r="K246" s="16">
        <f>G246*H246</f>
        <v>0</v>
      </c>
      <c r="Y246" s="28">
        <f>IF(AP246="5",BI246,0)</f>
        <v>0</v>
      </c>
      <c r="AA246" s="28">
        <f>IF(AP246="1",BG246,0)</f>
        <v>0</v>
      </c>
      <c r="AB246" s="28">
        <f>IF(AP246="1",BH246,0)</f>
        <v>0</v>
      </c>
      <c r="AC246" s="28">
        <f>IF(AP246="7",BG246,0)</f>
        <v>0</v>
      </c>
      <c r="AD246" s="28">
        <f>IF(AP246="7",BH246,0)</f>
        <v>0</v>
      </c>
      <c r="AE246" s="28">
        <f>IF(AP246="2",BG246,0)</f>
        <v>0</v>
      </c>
      <c r="AF246" s="28">
        <f>IF(AP246="2",BH246,0)</f>
        <v>0</v>
      </c>
      <c r="AG246" s="28">
        <f>IF(AP246="0",BI246,0)</f>
        <v>0</v>
      </c>
      <c r="AH246" s="24"/>
      <c r="AI246" s="16">
        <f>IF(AM246=0,K246,0)</f>
        <v>0</v>
      </c>
      <c r="AJ246" s="16">
        <f>IF(AM246=15,K246,0)</f>
        <v>0</v>
      </c>
      <c r="AK246" s="16">
        <f>IF(AM246=21,K246,0)</f>
        <v>0</v>
      </c>
      <c r="AM246" s="28">
        <v>21</v>
      </c>
      <c r="AN246" s="28">
        <f>H246*0</f>
        <v>0</v>
      </c>
      <c r="AO246" s="28">
        <f>H246*(1-0)</f>
        <v>0</v>
      </c>
      <c r="AP246" s="23" t="s">
        <v>11</v>
      </c>
      <c r="AU246" s="28">
        <f>AV246+AW246</f>
        <v>0</v>
      </c>
      <c r="AV246" s="28">
        <f>G246*AN246</f>
        <v>0</v>
      </c>
      <c r="AW246" s="28">
        <f>G246*AO246</f>
        <v>0</v>
      </c>
      <c r="AX246" s="29" t="s">
        <v>593</v>
      </c>
      <c r="AY246" s="29" t="s">
        <v>606</v>
      </c>
      <c r="AZ246" s="24" t="s">
        <v>612</v>
      </c>
      <c r="BB246" s="28">
        <f>AV246+AW246</f>
        <v>0</v>
      </c>
      <c r="BC246" s="28">
        <f>H246/(100-BD246)*100</f>
        <v>0</v>
      </c>
      <c r="BD246" s="28">
        <v>0</v>
      </c>
      <c r="BE246" s="28">
        <f>246</f>
        <v>246</v>
      </c>
      <c r="BG246" s="16">
        <f>G246*AN246</f>
        <v>0</v>
      </c>
      <c r="BH246" s="16">
        <f>G246*AO246</f>
        <v>0</v>
      </c>
      <c r="BI246" s="16">
        <f>G246*H246</f>
        <v>0</v>
      </c>
    </row>
    <row r="247" spans="1:61" ht="12.75">
      <c r="A247" s="4" t="s">
        <v>57</v>
      </c>
      <c r="B247" s="4" t="s">
        <v>157</v>
      </c>
      <c r="C247" s="148" t="s">
        <v>423</v>
      </c>
      <c r="D247" s="149"/>
      <c r="E247" s="149"/>
      <c r="F247" s="4" t="s">
        <v>556</v>
      </c>
      <c r="G247" s="66">
        <v>8.002</v>
      </c>
      <c r="H247" s="16">
        <v>0</v>
      </c>
      <c r="I247" s="16">
        <f>G247*AN247</f>
        <v>0</v>
      </c>
      <c r="J247" s="16">
        <f>G247*AO247</f>
        <v>0</v>
      </c>
      <c r="K247" s="16">
        <f>G247*H247</f>
        <v>0</v>
      </c>
      <c r="Y247" s="28">
        <f>IF(AP247="5",BI247,0)</f>
        <v>0</v>
      </c>
      <c r="AA247" s="28">
        <f>IF(AP247="1",BG247,0)</f>
        <v>0</v>
      </c>
      <c r="AB247" s="28">
        <f>IF(AP247="1",BH247,0)</f>
        <v>0</v>
      </c>
      <c r="AC247" s="28">
        <f>IF(AP247="7",BG247,0)</f>
        <v>0</v>
      </c>
      <c r="AD247" s="28">
        <f>IF(AP247="7",BH247,0)</f>
        <v>0</v>
      </c>
      <c r="AE247" s="28">
        <f>IF(AP247="2",BG247,0)</f>
        <v>0</v>
      </c>
      <c r="AF247" s="28">
        <f>IF(AP247="2",BH247,0)</f>
        <v>0</v>
      </c>
      <c r="AG247" s="28">
        <f>IF(AP247="0",BI247,0)</f>
        <v>0</v>
      </c>
      <c r="AH247" s="24"/>
      <c r="AI247" s="16">
        <f>IF(AM247=0,K247,0)</f>
        <v>0</v>
      </c>
      <c r="AJ247" s="16">
        <f>IF(AM247=15,K247,0)</f>
        <v>0</v>
      </c>
      <c r="AK247" s="16">
        <f>IF(AM247=21,K247,0)</f>
        <v>0</v>
      </c>
      <c r="AM247" s="28">
        <v>21</v>
      </c>
      <c r="AN247" s="28">
        <f>H247*0</f>
        <v>0</v>
      </c>
      <c r="AO247" s="28">
        <f>H247*(1-0)</f>
        <v>0</v>
      </c>
      <c r="AP247" s="23" t="s">
        <v>11</v>
      </c>
      <c r="AU247" s="28">
        <f>AV247+AW247</f>
        <v>0</v>
      </c>
      <c r="AV247" s="28">
        <f>G247*AN247</f>
        <v>0</v>
      </c>
      <c r="AW247" s="28">
        <f>G247*AO247</f>
        <v>0</v>
      </c>
      <c r="AX247" s="29" t="s">
        <v>593</v>
      </c>
      <c r="AY247" s="29" t="s">
        <v>606</v>
      </c>
      <c r="AZ247" s="24" t="s">
        <v>612</v>
      </c>
      <c r="BB247" s="28">
        <f>AV247+AW247</f>
        <v>0</v>
      </c>
      <c r="BC247" s="28">
        <f>H247/(100-BD247)*100</f>
        <v>0</v>
      </c>
      <c r="BD247" s="28">
        <v>0</v>
      </c>
      <c r="BE247" s="28">
        <f>247</f>
        <v>247</v>
      </c>
      <c r="BG247" s="16">
        <f>G247*AN247</f>
        <v>0</v>
      </c>
      <c r="BH247" s="16">
        <f>G247*AO247</f>
        <v>0</v>
      </c>
      <c r="BI247" s="16">
        <f>G247*H247</f>
        <v>0</v>
      </c>
    </row>
    <row r="248" spans="1:61" ht="12.75">
      <c r="A248" s="4" t="s">
        <v>58</v>
      </c>
      <c r="B248" s="4" t="s">
        <v>158</v>
      </c>
      <c r="C248" s="148" t="s">
        <v>424</v>
      </c>
      <c r="D248" s="149"/>
      <c r="E248" s="149"/>
      <c r="F248" s="4" t="s">
        <v>556</v>
      </c>
      <c r="G248" s="66">
        <v>80.02</v>
      </c>
      <c r="H248" s="16">
        <v>0</v>
      </c>
      <c r="I248" s="16">
        <f>G248*AN248</f>
        <v>0</v>
      </c>
      <c r="J248" s="16">
        <f>G248*AO248</f>
        <v>0</v>
      </c>
      <c r="K248" s="16">
        <f>G248*H248</f>
        <v>0</v>
      </c>
      <c r="Y248" s="28">
        <f>IF(AP248="5",BI248,0)</f>
        <v>0</v>
      </c>
      <c r="AA248" s="28">
        <f>IF(AP248="1",BG248,0)</f>
        <v>0</v>
      </c>
      <c r="AB248" s="28">
        <f>IF(AP248="1",BH248,0)</f>
        <v>0</v>
      </c>
      <c r="AC248" s="28">
        <f>IF(AP248="7",BG248,0)</f>
        <v>0</v>
      </c>
      <c r="AD248" s="28">
        <f>IF(AP248="7",BH248,0)</f>
        <v>0</v>
      </c>
      <c r="AE248" s="28">
        <f>IF(AP248="2",BG248,0)</f>
        <v>0</v>
      </c>
      <c r="AF248" s="28">
        <f>IF(AP248="2",BH248,0)</f>
        <v>0</v>
      </c>
      <c r="AG248" s="28">
        <f>IF(AP248="0",BI248,0)</f>
        <v>0</v>
      </c>
      <c r="AH248" s="24"/>
      <c r="AI248" s="16">
        <f>IF(AM248=0,K248,0)</f>
        <v>0</v>
      </c>
      <c r="AJ248" s="16">
        <f>IF(AM248=15,K248,0)</f>
        <v>0</v>
      </c>
      <c r="AK248" s="16">
        <f>IF(AM248=21,K248,0)</f>
        <v>0</v>
      </c>
      <c r="AM248" s="28">
        <v>21</v>
      </c>
      <c r="AN248" s="28">
        <f>H248*0</f>
        <v>0</v>
      </c>
      <c r="AO248" s="28">
        <f>H248*(1-0)</f>
        <v>0</v>
      </c>
      <c r="AP248" s="23" t="s">
        <v>11</v>
      </c>
      <c r="AU248" s="28">
        <f>AV248+AW248</f>
        <v>0</v>
      </c>
      <c r="AV248" s="28">
        <f>G248*AN248</f>
        <v>0</v>
      </c>
      <c r="AW248" s="28">
        <f>G248*AO248</f>
        <v>0</v>
      </c>
      <c r="AX248" s="29" t="s">
        <v>593</v>
      </c>
      <c r="AY248" s="29" t="s">
        <v>606</v>
      </c>
      <c r="AZ248" s="24" t="s">
        <v>612</v>
      </c>
      <c r="BB248" s="28">
        <f>AV248+AW248</f>
        <v>0</v>
      </c>
      <c r="BC248" s="28">
        <f>H248/(100-BD248)*100</f>
        <v>0</v>
      </c>
      <c r="BD248" s="28">
        <v>0</v>
      </c>
      <c r="BE248" s="28">
        <f>248</f>
        <v>248</v>
      </c>
      <c r="BG248" s="16">
        <f>G248*AN248</f>
        <v>0</v>
      </c>
      <c r="BH248" s="16">
        <f>G248*AO248</f>
        <v>0</v>
      </c>
      <c r="BI248" s="16">
        <f>G248*H248</f>
        <v>0</v>
      </c>
    </row>
    <row r="249" spans="3:7" ht="12.75">
      <c r="C249" s="153" t="s">
        <v>425</v>
      </c>
      <c r="D249" s="154"/>
      <c r="E249" s="154"/>
      <c r="G249" s="67">
        <v>80.02</v>
      </c>
    </row>
    <row r="250" spans="1:61" ht="12.75">
      <c r="A250" s="4" t="s">
        <v>59</v>
      </c>
      <c r="B250" s="4" t="s">
        <v>159</v>
      </c>
      <c r="C250" s="148" t="s">
        <v>426</v>
      </c>
      <c r="D250" s="149"/>
      <c r="E250" s="149"/>
      <c r="F250" s="4" t="s">
        <v>556</v>
      </c>
      <c r="G250" s="66">
        <v>8.002</v>
      </c>
      <c r="H250" s="16">
        <v>0</v>
      </c>
      <c r="I250" s="16">
        <f>G250*AN250</f>
        <v>0</v>
      </c>
      <c r="J250" s="16">
        <f>G250*AO250</f>
        <v>0</v>
      </c>
      <c r="K250" s="16">
        <f>G250*H250</f>
        <v>0</v>
      </c>
      <c r="Y250" s="28">
        <f>IF(AP250="5",BI250,0)</f>
        <v>0</v>
      </c>
      <c r="AA250" s="28">
        <f>IF(AP250="1",BG250,0)</f>
        <v>0</v>
      </c>
      <c r="AB250" s="28">
        <f>IF(AP250="1",BH250,0)</f>
        <v>0</v>
      </c>
      <c r="AC250" s="28">
        <f>IF(AP250="7",BG250,0)</f>
        <v>0</v>
      </c>
      <c r="AD250" s="28">
        <f>IF(AP250="7",BH250,0)</f>
        <v>0</v>
      </c>
      <c r="AE250" s="28">
        <f>IF(AP250="2",BG250,0)</f>
        <v>0</v>
      </c>
      <c r="AF250" s="28">
        <f>IF(AP250="2",BH250,0)</f>
        <v>0</v>
      </c>
      <c r="AG250" s="28">
        <f>IF(AP250="0",BI250,0)</f>
        <v>0</v>
      </c>
      <c r="AH250" s="24"/>
      <c r="AI250" s="16">
        <f>IF(AM250=0,K250,0)</f>
        <v>0</v>
      </c>
      <c r="AJ250" s="16">
        <f>IF(AM250=15,K250,0)</f>
        <v>0</v>
      </c>
      <c r="AK250" s="16">
        <f>IF(AM250=21,K250,0)</f>
        <v>0</v>
      </c>
      <c r="AM250" s="28">
        <v>21</v>
      </c>
      <c r="AN250" s="28">
        <f>H250*0</f>
        <v>0</v>
      </c>
      <c r="AO250" s="28">
        <f>H250*(1-0)</f>
        <v>0</v>
      </c>
      <c r="AP250" s="23" t="s">
        <v>11</v>
      </c>
      <c r="AU250" s="28">
        <f>AV250+AW250</f>
        <v>0</v>
      </c>
      <c r="AV250" s="28">
        <f>G250*AN250</f>
        <v>0</v>
      </c>
      <c r="AW250" s="28">
        <f>G250*AO250</f>
        <v>0</v>
      </c>
      <c r="AX250" s="29" t="s">
        <v>593</v>
      </c>
      <c r="AY250" s="29" t="s">
        <v>606</v>
      </c>
      <c r="AZ250" s="24" t="s">
        <v>612</v>
      </c>
      <c r="BB250" s="28">
        <f>AV250+AW250</f>
        <v>0</v>
      </c>
      <c r="BC250" s="28">
        <f>H250/(100-BD250)*100</f>
        <v>0</v>
      </c>
      <c r="BD250" s="28">
        <v>0</v>
      </c>
      <c r="BE250" s="28">
        <f>250</f>
        <v>250</v>
      </c>
      <c r="BG250" s="16">
        <f>G250*AN250</f>
        <v>0</v>
      </c>
      <c r="BH250" s="16">
        <f>G250*AO250</f>
        <v>0</v>
      </c>
      <c r="BI250" s="16">
        <f>G250*H250</f>
        <v>0</v>
      </c>
    </row>
    <row r="251" spans="1:61" ht="12.75">
      <c r="A251" s="4" t="s">
        <v>60</v>
      </c>
      <c r="B251" s="4" t="s">
        <v>160</v>
      </c>
      <c r="C251" s="148" t="s">
        <v>427</v>
      </c>
      <c r="D251" s="149"/>
      <c r="E251" s="149"/>
      <c r="F251" s="4" t="s">
        <v>556</v>
      </c>
      <c r="G251" s="66">
        <v>152.038</v>
      </c>
      <c r="H251" s="16">
        <v>0</v>
      </c>
      <c r="I251" s="16">
        <f>G251*AN251</f>
        <v>0</v>
      </c>
      <c r="J251" s="16">
        <f>G251*AO251</f>
        <v>0</v>
      </c>
      <c r="K251" s="16">
        <f>G251*H251</f>
        <v>0</v>
      </c>
      <c r="Y251" s="28">
        <f>IF(AP251="5",BI251,0)</f>
        <v>0</v>
      </c>
      <c r="AA251" s="28">
        <f>IF(AP251="1",BG251,0)</f>
        <v>0</v>
      </c>
      <c r="AB251" s="28">
        <f>IF(AP251="1",BH251,0)</f>
        <v>0</v>
      </c>
      <c r="AC251" s="28">
        <f>IF(AP251="7",BG251,0)</f>
        <v>0</v>
      </c>
      <c r="AD251" s="28">
        <f>IF(AP251="7",BH251,0)</f>
        <v>0</v>
      </c>
      <c r="AE251" s="28">
        <f>IF(AP251="2",BG251,0)</f>
        <v>0</v>
      </c>
      <c r="AF251" s="28">
        <f>IF(AP251="2",BH251,0)</f>
        <v>0</v>
      </c>
      <c r="AG251" s="28">
        <f>IF(AP251="0",BI251,0)</f>
        <v>0</v>
      </c>
      <c r="AH251" s="24"/>
      <c r="AI251" s="16">
        <f>IF(AM251=0,K251,0)</f>
        <v>0</v>
      </c>
      <c r="AJ251" s="16">
        <f>IF(AM251=15,K251,0)</f>
        <v>0</v>
      </c>
      <c r="AK251" s="16">
        <f>IF(AM251=21,K251,0)</f>
        <v>0</v>
      </c>
      <c r="AM251" s="28">
        <v>21</v>
      </c>
      <c r="AN251" s="28">
        <f>H251*0</f>
        <v>0</v>
      </c>
      <c r="AO251" s="28">
        <f>H251*(1-0)</f>
        <v>0</v>
      </c>
      <c r="AP251" s="23" t="s">
        <v>11</v>
      </c>
      <c r="AU251" s="28">
        <f>AV251+AW251</f>
        <v>0</v>
      </c>
      <c r="AV251" s="28">
        <f>G251*AN251</f>
        <v>0</v>
      </c>
      <c r="AW251" s="28">
        <f>G251*AO251</f>
        <v>0</v>
      </c>
      <c r="AX251" s="29" t="s">
        <v>593</v>
      </c>
      <c r="AY251" s="29" t="s">
        <v>606</v>
      </c>
      <c r="AZ251" s="24" t="s">
        <v>612</v>
      </c>
      <c r="BB251" s="28">
        <f>AV251+AW251</f>
        <v>0</v>
      </c>
      <c r="BC251" s="28">
        <f>H251/(100-BD251)*100</f>
        <v>0</v>
      </c>
      <c r="BD251" s="28">
        <v>0</v>
      </c>
      <c r="BE251" s="28">
        <f>251</f>
        <v>251</v>
      </c>
      <c r="BG251" s="16">
        <f>G251*AN251</f>
        <v>0</v>
      </c>
      <c r="BH251" s="16">
        <f>G251*AO251</f>
        <v>0</v>
      </c>
      <c r="BI251" s="16">
        <f>G251*H251</f>
        <v>0</v>
      </c>
    </row>
    <row r="252" spans="3:7" ht="12.75">
      <c r="C252" s="153" t="s">
        <v>428</v>
      </c>
      <c r="D252" s="154"/>
      <c r="E252" s="154"/>
      <c r="G252" s="67">
        <v>152.038</v>
      </c>
    </row>
    <row r="253" spans="1:61" ht="12.75">
      <c r="A253" s="4" t="s">
        <v>61</v>
      </c>
      <c r="B253" s="4" t="s">
        <v>161</v>
      </c>
      <c r="C253" s="148" t="s">
        <v>429</v>
      </c>
      <c r="D253" s="149"/>
      <c r="E253" s="149"/>
      <c r="F253" s="4" t="s">
        <v>556</v>
      </c>
      <c r="G253" s="66">
        <v>8.002</v>
      </c>
      <c r="H253" s="16">
        <v>0</v>
      </c>
      <c r="I253" s="16">
        <f>G253*AN253</f>
        <v>0</v>
      </c>
      <c r="J253" s="16">
        <f>G253*AO253</f>
        <v>0</v>
      </c>
      <c r="K253" s="16">
        <f>G253*H253</f>
        <v>0</v>
      </c>
      <c r="Y253" s="28">
        <f>IF(AP253="5",BI253,0)</f>
        <v>0</v>
      </c>
      <c r="AA253" s="28">
        <f>IF(AP253="1",BG253,0)</f>
        <v>0</v>
      </c>
      <c r="AB253" s="28">
        <f>IF(AP253="1",BH253,0)</f>
        <v>0</v>
      </c>
      <c r="AC253" s="28">
        <f>IF(AP253="7",BG253,0)</f>
        <v>0</v>
      </c>
      <c r="AD253" s="28">
        <f>IF(AP253="7",BH253,0)</f>
        <v>0</v>
      </c>
      <c r="AE253" s="28">
        <f>IF(AP253="2",BG253,0)</f>
        <v>0</v>
      </c>
      <c r="AF253" s="28">
        <f>IF(AP253="2",BH253,0)</f>
        <v>0</v>
      </c>
      <c r="AG253" s="28">
        <f>IF(AP253="0",BI253,0)</f>
        <v>0</v>
      </c>
      <c r="AH253" s="24"/>
      <c r="AI253" s="16">
        <f>IF(AM253=0,K253,0)</f>
        <v>0</v>
      </c>
      <c r="AJ253" s="16">
        <f>IF(AM253=15,K253,0)</f>
        <v>0</v>
      </c>
      <c r="AK253" s="16">
        <f>IF(AM253=21,K253,0)</f>
        <v>0</v>
      </c>
      <c r="AM253" s="28">
        <v>21</v>
      </c>
      <c r="AN253" s="28">
        <f>H253*0</f>
        <v>0</v>
      </c>
      <c r="AO253" s="28">
        <f>H253*(1-0)</f>
        <v>0</v>
      </c>
      <c r="AP253" s="23" t="s">
        <v>11</v>
      </c>
      <c r="AU253" s="28">
        <f>AV253+AW253</f>
        <v>0</v>
      </c>
      <c r="AV253" s="28">
        <f>G253*AN253</f>
        <v>0</v>
      </c>
      <c r="AW253" s="28">
        <f>G253*AO253</f>
        <v>0</v>
      </c>
      <c r="AX253" s="29" t="s">
        <v>593</v>
      </c>
      <c r="AY253" s="29" t="s">
        <v>606</v>
      </c>
      <c r="AZ253" s="24" t="s">
        <v>612</v>
      </c>
      <c r="BB253" s="28">
        <f>AV253+AW253</f>
        <v>0</v>
      </c>
      <c r="BC253" s="28">
        <f>H253/(100-BD253)*100</f>
        <v>0</v>
      </c>
      <c r="BD253" s="28">
        <v>0</v>
      </c>
      <c r="BE253" s="28">
        <f>253</f>
        <v>253</v>
      </c>
      <c r="BG253" s="16">
        <f>G253*AN253</f>
        <v>0</v>
      </c>
      <c r="BH253" s="16">
        <f>G253*AO253</f>
        <v>0</v>
      </c>
      <c r="BI253" s="16">
        <f>G253*H253</f>
        <v>0</v>
      </c>
    </row>
    <row r="254" spans="1:61" ht="12.75">
      <c r="A254" s="4" t="s">
        <v>62</v>
      </c>
      <c r="B254" s="4" t="s">
        <v>162</v>
      </c>
      <c r="C254" s="148" t="s">
        <v>430</v>
      </c>
      <c r="D254" s="149"/>
      <c r="E254" s="149"/>
      <c r="F254" s="4" t="s">
        <v>556</v>
      </c>
      <c r="G254" s="66">
        <v>8.002</v>
      </c>
      <c r="H254" s="16">
        <v>0</v>
      </c>
      <c r="I254" s="16">
        <f>G254*AN254</f>
        <v>0</v>
      </c>
      <c r="J254" s="16">
        <f>G254*AO254</f>
        <v>0</v>
      </c>
      <c r="K254" s="16">
        <f>G254*H254</f>
        <v>0</v>
      </c>
      <c r="Y254" s="28">
        <f>IF(AP254="5",BI254,0)</f>
        <v>0</v>
      </c>
      <c r="AA254" s="28">
        <f>IF(AP254="1",BG254,0)</f>
        <v>0</v>
      </c>
      <c r="AB254" s="28">
        <f>IF(AP254="1",BH254,0)</f>
        <v>0</v>
      </c>
      <c r="AC254" s="28">
        <f>IF(AP254="7",BG254,0)</f>
        <v>0</v>
      </c>
      <c r="AD254" s="28">
        <f>IF(AP254="7",BH254,0)</f>
        <v>0</v>
      </c>
      <c r="AE254" s="28">
        <f>IF(AP254="2",BG254,0)</f>
        <v>0</v>
      </c>
      <c r="AF254" s="28">
        <f>IF(AP254="2",BH254,0)</f>
        <v>0</v>
      </c>
      <c r="AG254" s="28">
        <f>IF(AP254="0",BI254,0)</f>
        <v>0</v>
      </c>
      <c r="AH254" s="24"/>
      <c r="AI254" s="16">
        <f>IF(AM254=0,K254,0)</f>
        <v>0</v>
      </c>
      <c r="AJ254" s="16">
        <f>IF(AM254=15,K254,0)</f>
        <v>0</v>
      </c>
      <c r="AK254" s="16">
        <f>IF(AM254=21,K254,0)</f>
        <v>0</v>
      </c>
      <c r="AM254" s="28">
        <v>21</v>
      </c>
      <c r="AN254" s="28">
        <f>H254*0</f>
        <v>0</v>
      </c>
      <c r="AO254" s="28">
        <f>H254*(1-0)</f>
        <v>0</v>
      </c>
      <c r="AP254" s="23" t="s">
        <v>11</v>
      </c>
      <c r="AU254" s="28">
        <f>AV254+AW254</f>
        <v>0</v>
      </c>
      <c r="AV254" s="28">
        <f>G254*AN254</f>
        <v>0</v>
      </c>
      <c r="AW254" s="28">
        <f>G254*AO254</f>
        <v>0</v>
      </c>
      <c r="AX254" s="29" t="s">
        <v>593</v>
      </c>
      <c r="AY254" s="29" t="s">
        <v>606</v>
      </c>
      <c r="AZ254" s="24" t="s">
        <v>612</v>
      </c>
      <c r="BB254" s="28">
        <f>AV254+AW254</f>
        <v>0</v>
      </c>
      <c r="BC254" s="28">
        <f>H254/(100-BD254)*100</f>
        <v>0</v>
      </c>
      <c r="BD254" s="28">
        <v>0</v>
      </c>
      <c r="BE254" s="28">
        <f>254</f>
        <v>254</v>
      </c>
      <c r="BG254" s="16">
        <f>G254*AN254</f>
        <v>0</v>
      </c>
      <c r="BH254" s="16">
        <f>G254*AO254</f>
        <v>0</v>
      </c>
      <c r="BI254" s="16">
        <f>G254*H254</f>
        <v>0</v>
      </c>
    </row>
    <row r="255" spans="1:46" ht="12.75">
      <c r="A255" s="5"/>
      <c r="B255" s="13" t="s">
        <v>163</v>
      </c>
      <c r="C255" s="157" t="s">
        <v>431</v>
      </c>
      <c r="D255" s="158"/>
      <c r="E255" s="158"/>
      <c r="F255" s="5" t="s">
        <v>6</v>
      </c>
      <c r="G255" s="5" t="s">
        <v>6</v>
      </c>
      <c r="H255" s="5" t="s">
        <v>6</v>
      </c>
      <c r="I255" s="31">
        <f>SUM(I256:I270)</f>
        <v>0</v>
      </c>
      <c r="J255" s="31">
        <f>SUM(J256:J270)</f>
        <v>0</v>
      </c>
      <c r="K255" s="31">
        <f>SUM(K256:K270)</f>
        <v>0</v>
      </c>
      <c r="AH255" s="24"/>
      <c r="AR255" s="31">
        <f>SUM(AI256:AI270)</f>
        <v>0</v>
      </c>
      <c r="AS255" s="31">
        <f>SUM(AJ256:AJ270)</f>
        <v>0</v>
      </c>
      <c r="AT255" s="31">
        <f>SUM(AK256:AK270)</f>
        <v>0</v>
      </c>
    </row>
    <row r="256" spans="1:61" ht="12.75">
      <c r="A256" s="4" t="s">
        <v>63</v>
      </c>
      <c r="B256" s="4" t="s">
        <v>164</v>
      </c>
      <c r="C256" s="148" t="s">
        <v>432</v>
      </c>
      <c r="D256" s="149"/>
      <c r="E256" s="149"/>
      <c r="F256" s="4" t="s">
        <v>551</v>
      </c>
      <c r="G256" s="66">
        <v>41.537</v>
      </c>
      <c r="H256" s="16">
        <v>0</v>
      </c>
      <c r="I256" s="16">
        <f>G256*AN256</f>
        <v>0</v>
      </c>
      <c r="J256" s="16">
        <f>G256*AO256</f>
        <v>0</v>
      </c>
      <c r="K256" s="16">
        <f>G256*H256</f>
        <v>0</v>
      </c>
      <c r="Y256" s="28">
        <f>IF(AP256="5",BI256,0)</f>
        <v>0</v>
      </c>
      <c r="AA256" s="28">
        <f>IF(AP256="1",BG256,0)</f>
        <v>0</v>
      </c>
      <c r="AB256" s="28">
        <f>IF(AP256="1",BH256,0)</f>
        <v>0</v>
      </c>
      <c r="AC256" s="28">
        <f>IF(AP256="7",BG256,0)</f>
        <v>0</v>
      </c>
      <c r="AD256" s="28">
        <f>IF(AP256="7",BH256,0)</f>
        <v>0</v>
      </c>
      <c r="AE256" s="28">
        <f>IF(AP256="2",BG256,0)</f>
        <v>0</v>
      </c>
      <c r="AF256" s="28">
        <f>IF(AP256="2",BH256,0)</f>
        <v>0</v>
      </c>
      <c r="AG256" s="28">
        <f>IF(AP256="0",BI256,0)</f>
        <v>0</v>
      </c>
      <c r="AH256" s="24"/>
      <c r="AI256" s="16">
        <f>IF(AM256=0,K256,0)</f>
        <v>0</v>
      </c>
      <c r="AJ256" s="16">
        <f>IF(AM256=15,K256,0)</f>
        <v>0</v>
      </c>
      <c r="AK256" s="16">
        <f>IF(AM256=21,K256,0)</f>
        <v>0</v>
      </c>
      <c r="AM256" s="28">
        <v>21</v>
      </c>
      <c r="AN256" s="28">
        <f>H256*0.24608392899429</f>
        <v>0</v>
      </c>
      <c r="AO256" s="28">
        <f>H256*(1-0.24608392899429)</f>
        <v>0</v>
      </c>
      <c r="AP256" s="23" t="s">
        <v>13</v>
      </c>
      <c r="AU256" s="28">
        <f>AV256+AW256</f>
        <v>0</v>
      </c>
      <c r="AV256" s="28">
        <f>G256*AN256</f>
        <v>0</v>
      </c>
      <c r="AW256" s="28">
        <f>G256*AO256</f>
        <v>0</v>
      </c>
      <c r="AX256" s="29" t="s">
        <v>594</v>
      </c>
      <c r="AY256" s="29" t="s">
        <v>607</v>
      </c>
      <c r="AZ256" s="24" t="s">
        <v>612</v>
      </c>
      <c r="BB256" s="28">
        <f>AV256+AW256</f>
        <v>0</v>
      </c>
      <c r="BC256" s="28">
        <f>H256/(100-BD256)*100</f>
        <v>0</v>
      </c>
      <c r="BD256" s="28">
        <v>0</v>
      </c>
      <c r="BE256" s="28">
        <f>256</f>
        <v>256</v>
      </c>
      <c r="BG256" s="16">
        <f>G256*AN256</f>
        <v>0</v>
      </c>
      <c r="BH256" s="16">
        <f>G256*AO256</f>
        <v>0</v>
      </c>
      <c r="BI256" s="16">
        <f>G256*H256</f>
        <v>0</v>
      </c>
    </row>
    <row r="257" spans="3:5" ht="12.75">
      <c r="C257" s="155" t="s">
        <v>433</v>
      </c>
      <c r="D257" s="156"/>
      <c r="E257" s="156"/>
    </row>
    <row r="258" spans="3:7" ht="12.75">
      <c r="C258" s="153" t="s">
        <v>434</v>
      </c>
      <c r="D258" s="154"/>
      <c r="E258" s="154"/>
      <c r="G258" s="67">
        <v>0</v>
      </c>
    </row>
    <row r="259" spans="3:7" ht="12.75">
      <c r="C259" s="153" t="s">
        <v>435</v>
      </c>
      <c r="D259" s="154"/>
      <c r="E259" s="154"/>
      <c r="G259" s="67">
        <v>1.957</v>
      </c>
    </row>
    <row r="260" spans="3:7" ht="12.75">
      <c r="C260" s="153" t="s">
        <v>436</v>
      </c>
      <c r="D260" s="154"/>
      <c r="E260" s="154"/>
      <c r="G260" s="67">
        <v>39.58</v>
      </c>
    </row>
    <row r="261" spans="1:61" ht="12.75">
      <c r="A261" s="4" t="s">
        <v>64</v>
      </c>
      <c r="B261" s="4" t="s">
        <v>165</v>
      </c>
      <c r="C261" s="148" t="s">
        <v>437</v>
      </c>
      <c r="D261" s="149"/>
      <c r="E261" s="149"/>
      <c r="F261" s="4" t="s">
        <v>551</v>
      </c>
      <c r="G261" s="66">
        <v>41.537</v>
      </c>
      <c r="H261" s="16">
        <v>0</v>
      </c>
      <c r="I261" s="16">
        <f>G261*AN261</f>
        <v>0</v>
      </c>
      <c r="J261" s="16">
        <f>G261*AO261</f>
        <v>0</v>
      </c>
      <c r="K261" s="16">
        <f>G261*H261</f>
        <v>0</v>
      </c>
      <c r="Y261" s="28">
        <f>IF(AP261="5",BI261,0)</f>
        <v>0</v>
      </c>
      <c r="AA261" s="28">
        <f>IF(AP261="1",BG261,0)</f>
        <v>0</v>
      </c>
      <c r="AB261" s="28">
        <f>IF(AP261="1",BH261,0)</f>
        <v>0</v>
      </c>
      <c r="AC261" s="28">
        <f>IF(AP261="7",BG261,0)</f>
        <v>0</v>
      </c>
      <c r="AD261" s="28">
        <f>IF(AP261="7",BH261,0)</f>
        <v>0</v>
      </c>
      <c r="AE261" s="28">
        <f>IF(AP261="2",BG261,0)</f>
        <v>0</v>
      </c>
      <c r="AF261" s="28">
        <f>IF(AP261="2",BH261,0)</f>
        <v>0</v>
      </c>
      <c r="AG261" s="28">
        <f>IF(AP261="0",BI261,0)</f>
        <v>0</v>
      </c>
      <c r="AH261" s="24"/>
      <c r="AI261" s="16">
        <f>IF(AM261=0,K261,0)</f>
        <v>0</v>
      </c>
      <c r="AJ261" s="16">
        <f>IF(AM261=15,K261,0)</f>
        <v>0</v>
      </c>
      <c r="AK261" s="16">
        <f>IF(AM261=21,K261,0)</f>
        <v>0</v>
      </c>
      <c r="AM261" s="28">
        <v>21</v>
      </c>
      <c r="AN261" s="28">
        <f>H261*0.632175557567405</f>
        <v>0</v>
      </c>
      <c r="AO261" s="28">
        <f>H261*(1-0.632175557567405)</f>
        <v>0</v>
      </c>
      <c r="AP261" s="23" t="s">
        <v>13</v>
      </c>
      <c r="AU261" s="28">
        <f>AV261+AW261</f>
        <v>0</v>
      </c>
      <c r="AV261" s="28">
        <f>G261*AN261</f>
        <v>0</v>
      </c>
      <c r="AW261" s="28">
        <f>G261*AO261</f>
        <v>0</v>
      </c>
      <c r="AX261" s="29" t="s">
        <v>594</v>
      </c>
      <c r="AY261" s="29" t="s">
        <v>607</v>
      </c>
      <c r="AZ261" s="24" t="s">
        <v>612</v>
      </c>
      <c r="BB261" s="28">
        <f>AV261+AW261</f>
        <v>0</v>
      </c>
      <c r="BC261" s="28">
        <f>H261/(100-BD261)*100</f>
        <v>0</v>
      </c>
      <c r="BD261" s="28">
        <v>0</v>
      </c>
      <c r="BE261" s="28">
        <f>261</f>
        <v>261</v>
      </c>
      <c r="BG261" s="16">
        <f>G261*AN261</f>
        <v>0</v>
      </c>
      <c r="BH261" s="16">
        <f>G261*AO261</f>
        <v>0</v>
      </c>
      <c r="BI261" s="16">
        <f>G261*H261</f>
        <v>0</v>
      </c>
    </row>
    <row r="262" spans="3:7" ht="12.75">
      <c r="C262" s="153" t="s">
        <v>434</v>
      </c>
      <c r="D262" s="154"/>
      <c r="E262" s="154"/>
      <c r="G262" s="67">
        <v>0</v>
      </c>
    </row>
    <row r="263" spans="3:7" ht="12.75">
      <c r="C263" s="153" t="s">
        <v>435</v>
      </c>
      <c r="D263" s="154"/>
      <c r="E263" s="154"/>
      <c r="G263" s="67">
        <v>1.957</v>
      </c>
    </row>
    <row r="264" spans="3:7" ht="12.75">
      <c r="C264" s="153" t="s">
        <v>436</v>
      </c>
      <c r="D264" s="154"/>
      <c r="E264" s="154"/>
      <c r="G264" s="67">
        <v>39.58</v>
      </c>
    </row>
    <row r="265" spans="1:61" ht="12.75">
      <c r="A265" s="4" t="s">
        <v>65</v>
      </c>
      <c r="B265" s="4" t="s">
        <v>166</v>
      </c>
      <c r="C265" s="148" t="s">
        <v>438</v>
      </c>
      <c r="D265" s="149"/>
      <c r="E265" s="149"/>
      <c r="F265" s="4" t="s">
        <v>552</v>
      </c>
      <c r="G265" s="66">
        <v>4.9</v>
      </c>
      <c r="H265" s="16">
        <v>0</v>
      </c>
      <c r="I265" s="16">
        <f>G265*AN265</f>
        <v>0</v>
      </c>
      <c r="J265" s="16">
        <f>G265*AO265</f>
        <v>0</v>
      </c>
      <c r="K265" s="16">
        <f>G265*H265</f>
        <v>0</v>
      </c>
      <c r="Y265" s="28">
        <f>IF(AP265="5",BI265,0)</f>
        <v>0</v>
      </c>
      <c r="AA265" s="28">
        <f>IF(AP265="1",BG265,0)</f>
        <v>0</v>
      </c>
      <c r="AB265" s="28">
        <f>IF(AP265="1",BH265,0)</f>
        <v>0</v>
      </c>
      <c r="AC265" s="28">
        <f>IF(AP265="7",BG265,0)</f>
        <v>0</v>
      </c>
      <c r="AD265" s="28">
        <f>IF(AP265="7",BH265,0)</f>
        <v>0</v>
      </c>
      <c r="AE265" s="28">
        <f>IF(AP265="2",BG265,0)</f>
        <v>0</v>
      </c>
      <c r="AF265" s="28">
        <f>IF(AP265="2",BH265,0)</f>
        <v>0</v>
      </c>
      <c r="AG265" s="28">
        <f>IF(AP265="0",BI265,0)</f>
        <v>0</v>
      </c>
      <c r="AH265" s="24"/>
      <c r="AI265" s="16">
        <f>IF(AM265=0,K265,0)</f>
        <v>0</v>
      </c>
      <c r="AJ265" s="16">
        <f>IF(AM265=15,K265,0)</f>
        <v>0</v>
      </c>
      <c r="AK265" s="16">
        <f>IF(AM265=21,K265,0)</f>
        <v>0</v>
      </c>
      <c r="AM265" s="28">
        <v>21</v>
      </c>
      <c r="AN265" s="28">
        <f>H265*0.614239796681118</f>
        <v>0</v>
      </c>
      <c r="AO265" s="28">
        <f>H265*(1-0.614239796681118)</f>
        <v>0</v>
      </c>
      <c r="AP265" s="23" t="s">
        <v>13</v>
      </c>
      <c r="AU265" s="28">
        <f>AV265+AW265</f>
        <v>0</v>
      </c>
      <c r="AV265" s="28">
        <f>G265*AN265</f>
        <v>0</v>
      </c>
      <c r="AW265" s="28">
        <f>G265*AO265</f>
        <v>0</v>
      </c>
      <c r="AX265" s="29" t="s">
        <v>594</v>
      </c>
      <c r="AY265" s="29" t="s">
        <v>607</v>
      </c>
      <c r="AZ265" s="24" t="s">
        <v>612</v>
      </c>
      <c r="BB265" s="28">
        <f>AV265+AW265</f>
        <v>0</v>
      </c>
      <c r="BC265" s="28">
        <f>H265/(100-BD265)*100</f>
        <v>0</v>
      </c>
      <c r="BD265" s="28">
        <v>0</v>
      </c>
      <c r="BE265" s="28">
        <f>265</f>
        <v>265</v>
      </c>
      <c r="BG265" s="16">
        <f>G265*AN265</f>
        <v>0</v>
      </c>
      <c r="BH265" s="16">
        <f>G265*AO265</f>
        <v>0</v>
      </c>
      <c r="BI265" s="16">
        <f>G265*H265</f>
        <v>0</v>
      </c>
    </row>
    <row r="266" spans="3:7" ht="12.75">
      <c r="C266" s="153" t="s">
        <v>434</v>
      </c>
      <c r="D266" s="154"/>
      <c r="E266" s="154"/>
      <c r="G266" s="67">
        <v>0</v>
      </c>
    </row>
    <row r="267" spans="3:7" ht="12.75">
      <c r="C267" s="153" t="s">
        <v>439</v>
      </c>
      <c r="D267" s="154"/>
      <c r="E267" s="154"/>
      <c r="G267" s="67">
        <v>4.9</v>
      </c>
    </row>
    <row r="268" spans="1:61" ht="12.75">
      <c r="A268" s="4" t="s">
        <v>66</v>
      </c>
      <c r="B268" s="4" t="s">
        <v>167</v>
      </c>
      <c r="C268" s="148" t="s">
        <v>440</v>
      </c>
      <c r="D268" s="149"/>
      <c r="E268" s="149"/>
      <c r="F268" s="4" t="s">
        <v>552</v>
      </c>
      <c r="G268" s="66">
        <v>6</v>
      </c>
      <c r="H268" s="16">
        <v>0</v>
      </c>
      <c r="I268" s="16">
        <f>G268*AN268</f>
        <v>0</v>
      </c>
      <c r="J268" s="16">
        <f>G268*AO268</f>
        <v>0</v>
      </c>
      <c r="K268" s="16">
        <f>G268*H268</f>
        <v>0</v>
      </c>
      <c r="Y268" s="28">
        <f>IF(AP268="5",BI268,0)</f>
        <v>0</v>
      </c>
      <c r="AA268" s="28">
        <f>IF(AP268="1",BG268,0)</f>
        <v>0</v>
      </c>
      <c r="AB268" s="28">
        <f>IF(AP268="1",BH268,0)</f>
        <v>0</v>
      </c>
      <c r="AC268" s="28">
        <f>IF(AP268="7",BG268,0)</f>
        <v>0</v>
      </c>
      <c r="AD268" s="28">
        <f>IF(AP268="7",BH268,0)</f>
        <v>0</v>
      </c>
      <c r="AE268" s="28">
        <f>IF(AP268="2",BG268,0)</f>
        <v>0</v>
      </c>
      <c r="AF268" s="28">
        <f>IF(AP268="2",BH268,0)</f>
        <v>0</v>
      </c>
      <c r="AG268" s="28">
        <f>IF(AP268="0",BI268,0)</f>
        <v>0</v>
      </c>
      <c r="AH268" s="24"/>
      <c r="AI268" s="16">
        <f>IF(AM268=0,K268,0)</f>
        <v>0</v>
      </c>
      <c r="AJ268" s="16">
        <f>IF(AM268=15,K268,0)</f>
        <v>0</v>
      </c>
      <c r="AK268" s="16">
        <f>IF(AM268=21,K268,0)</f>
        <v>0</v>
      </c>
      <c r="AM268" s="28">
        <v>21</v>
      </c>
      <c r="AN268" s="28">
        <f>H268*0.554750830564784</f>
        <v>0</v>
      </c>
      <c r="AO268" s="28">
        <f>H268*(1-0.554750830564784)</f>
        <v>0</v>
      </c>
      <c r="AP268" s="23" t="s">
        <v>13</v>
      </c>
      <c r="AU268" s="28">
        <f>AV268+AW268</f>
        <v>0</v>
      </c>
      <c r="AV268" s="28">
        <f>G268*AN268</f>
        <v>0</v>
      </c>
      <c r="AW268" s="28">
        <f>G268*AO268</f>
        <v>0</v>
      </c>
      <c r="AX268" s="29" t="s">
        <v>594</v>
      </c>
      <c r="AY268" s="29" t="s">
        <v>607</v>
      </c>
      <c r="AZ268" s="24" t="s">
        <v>612</v>
      </c>
      <c r="BB268" s="28">
        <f>AV268+AW268</f>
        <v>0</v>
      </c>
      <c r="BC268" s="28">
        <f>H268/(100-BD268)*100</f>
        <v>0</v>
      </c>
      <c r="BD268" s="28">
        <v>0</v>
      </c>
      <c r="BE268" s="28">
        <f>268</f>
        <v>268</v>
      </c>
      <c r="BG268" s="16">
        <f>G268*AN268</f>
        <v>0</v>
      </c>
      <c r="BH268" s="16">
        <f>G268*AO268</f>
        <v>0</v>
      </c>
      <c r="BI268" s="16">
        <f>G268*H268</f>
        <v>0</v>
      </c>
    </row>
    <row r="269" spans="3:7" ht="12.75">
      <c r="C269" s="153" t="s">
        <v>441</v>
      </c>
      <c r="D269" s="154"/>
      <c r="E269" s="154"/>
      <c r="G269" s="67">
        <v>6</v>
      </c>
    </row>
    <row r="270" spans="1:61" ht="12.75">
      <c r="A270" s="4" t="s">
        <v>67</v>
      </c>
      <c r="B270" s="4" t="s">
        <v>168</v>
      </c>
      <c r="C270" s="148" t="s">
        <v>442</v>
      </c>
      <c r="D270" s="149"/>
      <c r="E270" s="149"/>
      <c r="F270" s="4" t="s">
        <v>556</v>
      </c>
      <c r="G270" s="66">
        <v>0.165</v>
      </c>
      <c r="H270" s="16">
        <v>0</v>
      </c>
      <c r="I270" s="16">
        <f>G270*AN270</f>
        <v>0</v>
      </c>
      <c r="J270" s="16">
        <f>G270*AO270</f>
        <v>0</v>
      </c>
      <c r="K270" s="16">
        <f>G270*H270</f>
        <v>0</v>
      </c>
      <c r="Y270" s="28">
        <f>IF(AP270="5",BI270,0)</f>
        <v>0</v>
      </c>
      <c r="AA270" s="28">
        <f>IF(AP270="1",BG270,0)</f>
        <v>0</v>
      </c>
      <c r="AB270" s="28">
        <f>IF(AP270="1",BH270,0)</f>
        <v>0</v>
      </c>
      <c r="AC270" s="28">
        <f>IF(AP270="7",BG270,0)</f>
        <v>0</v>
      </c>
      <c r="AD270" s="28">
        <f>IF(AP270="7",BH270,0)</f>
        <v>0</v>
      </c>
      <c r="AE270" s="28">
        <f>IF(AP270="2",BG270,0)</f>
        <v>0</v>
      </c>
      <c r="AF270" s="28">
        <f>IF(AP270="2",BH270,0)</f>
        <v>0</v>
      </c>
      <c r="AG270" s="28">
        <f>IF(AP270="0",BI270,0)</f>
        <v>0</v>
      </c>
      <c r="AH270" s="24"/>
      <c r="AI270" s="16">
        <f>IF(AM270=0,K270,0)</f>
        <v>0</v>
      </c>
      <c r="AJ270" s="16">
        <f>IF(AM270=15,K270,0)</f>
        <v>0</v>
      </c>
      <c r="AK270" s="16">
        <f>IF(AM270=21,K270,0)</f>
        <v>0</v>
      </c>
      <c r="AM270" s="28">
        <v>21</v>
      </c>
      <c r="AN270" s="28">
        <f>H270*0</f>
        <v>0</v>
      </c>
      <c r="AO270" s="28">
        <f>H270*(1-0)</f>
        <v>0</v>
      </c>
      <c r="AP270" s="23" t="s">
        <v>11</v>
      </c>
      <c r="AU270" s="28">
        <f>AV270+AW270</f>
        <v>0</v>
      </c>
      <c r="AV270" s="28">
        <f>G270*AN270</f>
        <v>0</v>
      </c>
      <c r="AW270" s="28">
        <f>G270*AO270</f>
        <v>0</v>
      </c>
      <c r="AX270" s="29" t="s">
        <v>594</v>
      </c>
      <c r="AY270" s="29" t="s">
        <v>607</v>
      </c>
      <c r="AZ270" s="24" t="s">
        <v>612</v>
      </c>
      <c r="BB270" s="28">
        <f>AV270+AW270</f>
        <v>0</v>
      </c>
      <c r="BC270" s="28">
        <f>H270/(100-BD270)*100</f>
        <v>0</v>
      </c>
      <c r="BD270" s="28">
        <v>0</v>
      </c>
      <c r="BE270" s="28">
        <f>270</f>
        <v>270</v>
      </c>
      <c r="BG270" s="16">
        <f>G270*AN270</f>
        <v>0</v>
      </c>
      <c r="BH270" s="16">
        <f>G270*AO270</f>
        <v>0</v>
      </c>
      <c r="BI270" s="16">
        <f>G270*H270</f>
        <v>0</v>
      </c>
    </row>
    <row r="271" spans="1:46" ht="12.75">
      <c r="A271" s="5"/>
      <c r="B271" s="13" t="s">
        <v>169</v>
      </c>
      <c r="C271" s="157" t="s">
        <v>443</v>
      </c>
      <c r="D271" s="158"/>
      <c r="E271" s="158"/>
      <c r="F271" s="5" t="s">
        <v>6</v>
      </c>
      <c r="G271" s="5" t="s">
        <v>6</v>
      </c>
      <c r="H271" s="5" t="s">
        <v>6</v>
      </c>
      <c r="I271" s="31">
        <f>SUM(I272:I272)</f>
        <v>0</v>
      </c>
      <c r="J271" s="31">
        <f>SUM(J272:J272)</f>
        <v>0</v>
      </c>
      <c r="K271" s="31">
        <f>SUM(K272:K272)</f>
        <v>0</v>
      </c>
      <c r="AH271" s="24"/>
      <c r="AR271" s="31">
        <f>SUM(AI272:AI272)</f>
        <v>0</v>
      </c>
      <c r="AS271" s="31">
        <f>SUM(AJ272:AJ272)</f>
        <v>0</v>
      </c>
      <c r="AT271" s="31">
        <f>SUM(AK272:AK272)</f>
        <v>0</v>
      </c>
    </row>
    <row r="272" spans="1:61" ht="12.75">
      <c r="A272" s="4" t="s">
        <v>68</v>
      </c>
      <c r="B272" s="4" t="s">
        <v>170</v>
      </c>
      <c r="C272" s="148" t="s">
        <v>443</v>
      </c>
      <c r="D272" s="149"/>
      <c r="E272" s="149"/>
      <c r="F272" s="4" t="s">
        <v>557</v>
      </c>
      <c r="G272" s="66">
        <v>1</v>
      </c>
      <c r="H272" s="16">
        <v>0</v>
      </c>
      <c r="I272" s="16">
        <f>G272*AN272</f>
        <v>0</v>
      </c>
      <c r="J272" s="16">
        <f>G272*AO272</f>
        <v>0</v>
      </c>
      <c r="K272" s="16">
        <f>G272*H272</f>
        <v>0</v>
      </c>
      <c r="Y272" s="28">
        <f>IF(AP272="5",BI272,0)</f>
        <v>0</v>
      </c>
      <c r="AA272" s="28">
        <f>IF(AP272="1",BG272,0)</f>
        <v>0</v>
      </c>
      <c r="AB272" s="28">
        <f>IF(AP272="1",BH272,0)</f>
        <v>0</v>
      </c>
      <c r="AC272" s="28">
        <f>IF(AP272="7",BG272,0)</f>
        <v>0</v>
      </c>
      <c r="AD272" s="28">
        <f>IF(AP272="7",BH272,0)</f>
        <v>0</v>
      </c>
      <c r="AE272" s="28">
        <f>IF(AP272="2",BG272,0)</f>
        <v>0</v>
      </c>
      <c r="AF272" s="28">
        <f>IF(AP272="2",BH272,0)</f>
        <v>0</v>
      </c>
      <c r="AG272" s="28">
        <f>IF(AP272="0",BI272,0)</f>
        <v>0</v>
      </c>
      <c r="AH272" s="24"/>
      <c r="AI272" s="16">
        <f>IF(AM272=0,K272,0)</f>
        <v>0</v>
      </c>
      <c r="AJ272" s="16">
        <f>IF(AM272=15,K272,0)</f>
        <v>0</v>
      </c>
      <c r="AK272" s="16">
        <f>IF(AM272=21,K272,0)</f>
        <v>0</v>
      </c>
      <c r="AM272" s="28">
        <v>21</v>
      </c>
      <c r="AN272" s="28">
        <f>H272*0</f>
        <v>0</v>
      </c>
      <c r="AO272" s="28">
        <f>H272*(1-0)</f>
        <v>0</v>
      </c>
      <c r="AP272" s="23" t="s">
        <v>13</v>
      </c>
      <c r="AU272" s="28">
        <f>AV272+AW272</f>
        <v>0</v>
      </c>
      <c r="AV272" s="28">
        <f>G272*AN272</f>
        <v>0</v>
      </c>
      <c r="AW272" s="28">
        <f>G272*AO272</f>
        <v>0</v>
      </c>
      <c r="AX272" s="29" t="s">
        <v>595</v>
      </c>
      <c r="AY272" s="29" t="s">
        <v>608</v>
      </c>
      <c r="AZ272" s="24" t="s">
        <v>612</v>
      </c>
      <c r="BB272" s="28">
        <f>AV272+AW272</f>
        <v>0</v>
      </c>
      <c r="BC272" s="28">
        <f>H272/(100-BD272)*100</f>
        <v>0</v>
      </c>
      <c r="BD272" s="28">
        <v>0</v>
      </c>
      <c r="BE272" s="28">
        <f>272</f>
        <v>272</v>
      </c>
      <c r="BG272" s="16">
        <f>G272*AN272</f>
        <v>0</v>
      </c>
      <c r="BH272" s="16">
        <f>G272*AO272</f>
        <v>0</v>
      </c>
      <c r="BI272" s="16">
        <f>G272*H272</f>
        <v>0</v>
      </c>
    </row>
    <row r="273" spans="3:5" ht="12.75">
      <c r="C273" s="155" t="s">
        <v>444</v>
      </c>
      <c r="D273" s="156"/>
      <c r="E273" s="156"/>
    </row>
    <row r="274" spans="1:46" ht="12.75">
      <c r="A274" s="5"/>
      <c r="B274" s="13" t="s">
        <v>171</v>
      </c>
      <c r="C274" s="157" t="s">
        <v>445</v>
      </c>
      <c r="D274" s="158"/>
      <c r="E274" s="158"/>
      <c r="F274" s="5" t="s">
        <v>6</v>
      </c>
      <c r="G274" s="5" t="s">
        <v>6</v>
      </c>
      <c r="H274" s="5" t="s">
        <v>6</v>
      </c>
      <c r="I274" s="31">
        <f>SUM(I275:I287)</f>
        <v>0</v>
      </c>
      <c r="J274" s="31">
        <f>SUM(J275:J287)</f>
        <v>0</v>
      </c>
      <c r="K274" s="31">
        <f>SUM(K275:K287)</f>
        <v>0</v>
      </c>
      <c r="AH274" s="24"/>
      <c r="AR274" s="31">
        <f>SUM(AI275:AI287)</f>
        <v>0</v>
      </c>
      <c r="AS274" s="31">
        <f>SUM(AJ275:AJ287)</f>
        <v>0</v>
      </c>
      <c r="AT274" s="31">
        <f>SUM(AK275:AK287)</f>
        <v>0</v>
      </c>
    </row>
    <row r="275" spans="1:61" ht="12.75">
      <c r="A275" s="4" t="s">
        <v>69</v>
      </c>
      <c r="B275" s="4" t="s">
        <v>172</v>
      </c>
      <c r="C275" s="148" t="s">
        <v>446</v>
      </c>
      <c r="D275" s="149"/>
      <c r="E275" s="149"/>
      <c r="F275" s="4" t="s">
        <v>553</v>
      </c>
      <c r="G275" s="66">
        <v>7</v>
      </c>
      <c r="H275" s="16">
        <v>0</v>
      </c>
      <c r="I275" s="16">
        <f>G275*AN275</f>
        <v>0</v>
      </c>
      <c r="J275" s="16">
        <f>G275*AO275</f>
        <v>0</v>
      </c>
      <c r="K275" s="16">
        <f>G275*H275</f>
        <v>0</v>
      </c>
      <c r="Y275" s="28">
        <f>IF(AP275="5",BI275,0)</f>
        <v>0</v>
      </c>
      <c r="AA275" s="28">
        <f>IF(AP275="1",BG275,0)</f>
        <v>0</v>
      </c>
      <c r="AB275" s="28">
        <f>IF(AP275="1",BH275,0)</f>
        <v>0</v>
      </c>
      <c r="AC275" s="28">
        <f>IF(AP275="7",BG275,0)</f>
        <v>0</v>
      </c>
      <c r="AD275" s="28">
        <f>IF(AP275="7",BH275,0)</f>
        <v>0</v>
      </c>
      <c r="AE275" s="28">
        <f>IF(AP275="2",BG275,0)</f>
        <v>0</v>
      </c>
      <c r="AF275" s="28">
        <f>IF(AP275="2",BH275,0)</f>
        <v>0</v>
      </c>
      <c r="AG275" s="28">
        <f>IF(AP275="0",BI275,0)</f>
        <v>0</v>
      </c>
      <c r="AH275" s="24"/>
      <c r="AI275" s="16">
        <f>IF(AM275=0,K275,0)</f>
        <v>0</v>
      </c>
      <c r="AJ275" s="16">
        <f>IF(AM275=15,K275,0)</f>
        <v>0</v>
      </c>
      <c r="AK275" s="16">
        <f>IF(AM275=21,K275,0)</f>
        <v>0</v>
      </c>
      <c r="AM275" s="28">
        <v>21</v>
      </c>
      <c r="AN275" s="28">
        <f>H275*0</f>
        <v>0</v>
      </c>
      <c r="AO275" s="28">
        <f>H275*(1-0)</f>
        <v>0</v>
      </c>
      <c r="AP275" s="23" t="s">
        <v>13</v>
      </c>
      <c r="AU275" s="28">
        <f>AV275+AW275</f>
        <v>0</v>
      </c>
      <c r="AV275" s="28">
        <f>G275*AN275</f>
        <v>0</v>
      </c>
      <c r="AW275" s="28">
        <f>G275*AO275</f>
        <v>0</v>
      </c>
      <c r="AX275" s="29" t="s">
        <v>596</v>
      </c>
      <c r="AY275" s="29" t="s">
        <v>609</v>
      </c>
      <c r="AZ275" s="24" t="s">
        <v>612</v>
      </c>
      <c r="BB275" s="28">
        <f>AV275+AW275</f>
        <v>0</v>
      </c>
      <c r="BC275" s="28">
        <f>H275/(100-BD275)*100</f>
        <v>0</v>
      </c>
      <c r="BD275" s="28">
        <v>0</v>
      </c>
      <c r="BE275" s="28">
        <f>275</f>
        <v>275</v>
      </c>
      <c r="BG275" s="16">
        <f>G275*AN275</f>
        <v>0</v>
      </c>
      <c r="BH275" s="16">
        <f>G275*AO275</f>
        <v>0</v>
      </c>
      <c r="BI275" s="16">
        <f>G275*H275</f>
        <v>0</v>
      </c>
    </row>
    <row r="276" spans="3:7" ht="12.75">
      <c r="C276" s="153" t="s">
        <v>447</v>
      </c>
      <c r="D276" s="154"/>
      <c r="E276" s="154"/>
      <c r="G276" s="67">
        <v>3</v>
      </c>
    </row>
    <row r="277" spans="3:7" ht="12.75">
      <c r="C277" s="153" t="s">
        <v>448</v>
      </c>
      <c r="D277" s="154"/>
      <c r="E277" s="154"/>
      <c r="G277" s="67">
        <v>4</v>
      </c>
    </row>
    <row r="278" spans="1:61" ht="12.75">
      <c r="A278" s="6" t="s">
        <v>70</v>
      </c>
      <c r="B278" s="6" t="s">
        <v>173</v>
      </c>
      <c r="C278" s="161" t="s">
        <v>449</v>
      </c>
      <c r="D278" s="162"/>
      <c r="E278" s="162"/>
      <c r="F278" s="6" t="s">
        <v>553</v>
      </c>
      <c r="G278" s="68">
        <v>7</v>
      </c>
      <c r="H278" s="17">
        <v>0</v>
      </c>
      <c r="I278" s="17">
        <f>G278*AN278</f>
        <v>0</v>
      </c>
      <c r="J278" s="17">
        <f>G278*AO278</f>
        <v>0</v>
      </c>
      <c r="K278" s="17">
        <f>G278*H278</f>
        <v>0</v>
      </c>
      <c r="Y278" s="28">
        <f>IF(AP278="5",BI278,0)</f>
        <v>0</v>
      </c>
      <c r="AA278" s="28">
        <f>IF(AP278="1",BG278,0)</f>
        <v>0</v>
      </c>
      <c r="AB278" s="28">
        <f>IF(AP278="1",BH278,0)</f>
        <v>0</v>
      </c>
      <c r="AC278" s="28">
        <f>IF(AP278="7",BG278,0)</f>
        <v>0</v>
      </c>
      <c r="AD278" s="28">
        <f>IF(AP278="7",BH278,0)</f>
        <v>0</v>
      </c>
      <c r="AE278" s="28">
        <f>IF(AP278="2",BG278,0)</f>
        <v>0</v>
      </c>
      <c r="AF278" s="28">
        <f>IF(AP278="2",BH278,0)</f>
        <v>0</v>
      </c>
      <c r="AG278" s="28">
        <f>IF(AP278="0",BI278,0)</f>
        <v>0</v>
      </c>
      <c r="AH278" s="24"/>
      <c r="AI278" s="17">
        <f>IF(AM278=0,K278,0)</f>
        <v>0</v>
      </c>
      <c r="AJ278" s="17">
        <f>IF(AM278=15,K278,0)</f>
        <v>0</v>
      </c>
      <c r="AK278" s="17">
        <f>IF(AM278=21,K278,0)</f>
        <v>0</v>
      </c>
      <c r="AM278" s="28">
        <v>21</v>
      </c>
      <c r="AN278" s="28">
        <f>H278*1</f>
        <v>0</v>
      </c>
      <c r="AO278" s="28">
        <f>H278*(1-1)</f>
        <v>0</v>
      </c>
      <c r="AP278" s="25" t="s">
        <v>13</v>
      </c>
      <c r="AU278" s="28">
        <f>AV278+AW278</f>
        <v>0</v>
      </c>
      <c r="AV278" s="28">
        <f>G278*AN278</f>
        <v>0</v>
      </c>
      <c r="AW278" s="28">
        <f>G278*AO278</f>
        <v>0</v>
      </c>
      <c r="AX278" s="29" t="s">
        <v>596</v>
      </c>
      <c r="AY278" s="29" t="s">
        <v>609</v>
      </c>
      <c r="AZ278" s="24" t="s">
        <v>612</v>
      </c>
      <c r="BB278" s="28">
        <f>AV278+AW278</f>
        <v>0</v>
      </c>
      <c r="BC278" s="28">
        <f>H278/(100-BD278)*100</f>
        <v>0</v>
      </c>
      <c r="BD278" s="28">
        <v>0</v>
      </c>
      <c r="BE278" s="28">
        <f>278</f>
        <v>278</v>
      </c>
      <c r="BG278" s="17">
        <f>G278*AN278</f>
        <v>0</v>
      </c>
      <c r="BH278" s="17">
        <f>G278*AO278</f>
        <v>0</v>
      </c>
      <c r="BI278" s="17">
        <f>G278*H278</f>
        <v>0</v>
      </c>
    </row>
    <row r="279" spans="3:7" ht="12.75">
      <c r="C279" s="153" t="s">
        <v>447</v>
      </c>
      <c r="D279" s="154"/>
      <c r="E279" s="154"/>
      <c r="G279" s="67">
        <v>3</v>
      </c>
    </row>
    <row r="280" spans="3:7" ht="12.75">
      <c r="C280" s="153" t="s">
        <v>448</v>
      </c>
      <c r="D280" s="154"/>
      <c r="E280" s="154"/>
      <c r="G280" s="67">
        <v>4</v>
      </c>
    </row>
    <row r="281" spans="1:61" ht="12.75">
      <c r="A281" s="4" t="s">
        <v>71</v>
      </c>
      <c r="B281" s="4" t="s">
        <v>174</v>
      </c>
      <c r="C281" s="148" t="s">
        <v>450</v>
      </c>
      <c r="D281" s="149"/>
      <c r="E281" s="149"/>
      <c r="F281" s="4" t="s">
        <v>553</v>
      </c>
      <c r="G281" s="66">
        <v>1</v>
      </c>
      <c r="H281" s="16">
        <v>0</v>
      </c>
      <c r="I281" s="16">
        <f>G281*AN281</f>
        <v>0</v>
      </c>
      <c r="J281" s="16">
        <f>G281*AO281</f>
        <v>0</v>
      </c>
      <c r="K281" s="16">
        <f>G281*H281</f>
        <v>0</v>
      </c>
      <c r="Y281" s="28">
        <f>IF(AP281="5",BI281,0)</f>
        <v>0</v>
      </c>
      <c r="AA281" s="28">
        <f>IF(AP281="1",BG281,0)</f>
        <v>0</v>
      </c>
      <c r="AB281" s="28">
        <f>IF(AP281="1",BH281,0)</f>
        <v>0</v>
      </c>
      <c r="AC281" s="28">
        <f>IF(AP281="7",BG281,0)</f>
        <v>0</v>
      </c>
      <c r="AD281" s="28">
        <f>IF(AP281="7",BH281,0)</f>
        <v>0</v>
      </c>
      <c r="AE281" s="28">
        <f>IF(AP281="2",BG281,0)</f>
        <v>0</v>
      </c>
      <c r="AF281" s="28">
        <f>IF(AP281="2",BH281,0)</f>
        <v>0</v>
      </c>
      <c r="AG281" s="28">
        <f>IF(AP281="0",BI281,0)</f>
        <v>0</v>
      </c>
      <c r="AH281" s="24"/>
      <c r="AI281" s="16">
        <f>IF(AM281=0,K281,0)</f>
        <v>0</v>
      </c>
      <c r="AJ281" s="16">
        <f>IF(AM281=15,K281,0)</f>
        <v>0</v>
      </c>
      <c r="AK281" s="16">
        <f>IF(AM281=21,K281,0)</f>
        <v>0</v>
      </c>
      <c r="AM281" s="28">
        <v>21</v>
      </c>
      <c r="AN281" s="28">
        <f>H281*0</f>
        <v>0</v>
      </c>
      <c r="AO281" s="28">
        <f>H281*(1-0)</f>
        <v>0</v>
      </c>
      <c r="AP281" s="23" t="s">
        <v>13</v>
      </c>
      <c r="AU281" s="28">
        <f>AV281+AW281</f>
        <v>0</v>
      </c>
      <c r="AV281" s="28">
        <f>G281*AN281</f>
        <v>0</v>
      </c>
      <c r="AW281" s="28">
        <f>G281*AO281</f>
        <v>0</v>
      </c>
      <c r="AX281" s="29" t="s">
        <v>596</v>
      </c>
      <c r="AY281" s="29" t="s">
        <v>609</v>
      </c>
      <c r="AZ281" s="24" t="s">
        <v>612</v>
      </c>
      <c r="BB281" s="28">
        <f>AV281+AW281</f>
        <v>0</v>
      </c>
      <c r="BC281" s="28">
        <f>H281/(100-BD281)*100</f>
        <v>0</v>
      </c>
      <c r="BD281" s="28">
        <v>0</v>
      </c>
      <c r="BE281" s="28">
        <f>281</f>
        <v>281</v>
      </c>
      <c r="BG281" s="16">
        <f>G281*AN281</f>
        <v>0</v>
      </c>
      <c r="BH281" s="16">
        <f>G281*AO281</f>
        <v>0</v>
      </c>
      <c r="BI281" s="16">
        <f>G281*H281</f>
        <v>0</v>
      </c>
    </row>
    <row r="282" spans="3:7" ht="12.75">
      <c r="C282" s="153" t="s">
        <v>451</v>
      </c>
      <c r="D282" s="154"/>
      <c r="E282" s="154"/>
      <c r="G282" s="67">
        <v>1</v>
      </c>
    </row>
    <row r="283" spans="1:61" ht="12.75">
      <c r="A283" s="4" t="s">
        <v>72</v>
      </c>
      <c r="B283" s="4" t="s">
        <v>175</v>
      </c>
      <c r="C283" s="148" t="s">
        <v>452</v>
      </c>
      <c r="D283" s="149"/>
      <c r="E283" s="149"/>
      <c r="F283" s="4" t="s">
        <v>553</v>
      </c>
      <c r="G283" s="66">
        <v>1</v>
      </c>
      <c r="H283" s="16">
        <v>0</v>
      </c>
      <c r="I283" s="16">
        <f>G283*AN283</f>
        <v>0</v>
      </c>
      <c r="J283" s="16">
        <f>G283*AO283</f>
        <v>0</v>
      </c>
      <c r="K283" s="16">
        <f>G283*H283</f>
        <v>0</v>
      </c>
      <c r="Y283" s="28">
        <f>IF(AP283="5",BI283,0)</f>
        <v>0</v>
      </c>
      <c r="AA283" s="28">
        <f>IF(AP283="1",BG283,0)</f>
        <v>0</v>
      </c>
      <c r="AB283" s="28">
        <f>IF(AP283="1",BH283,0)</f>
        <v>0</v>
      </c>
      <c r="AC283" s="28">
        <f>IF(AP283="7",BG283,0)</f>
        <v>0</v>
      </c>
      <c r="AD283" s="28">
        <f>IF(AP283="7",BH283,0)</f>
        <v>0</v>
      </c>
      <c r="AE283" s="28">
        <f>IF(AP283="2",BG283,0)</f>
        <v>0</v>
      </c>
      <c r="AF283" s="28">
        <f>IF(AP283="2",BH283,0)</f>
        <v>0</v>
      </c>
      <c r="AG283" s="28">
        <f>IF(AP283="0",BI283,0)</f>
        <v>0</v>
      </c>
      <c r="AH283" s="24"/>
      <c r="AI283" s="16">
        <f>IF(AM283=0,K283,0)</f>
        <v>0</v>
      </c>
      <c r="AJ283" s="16">
        <f>IF(AM283=15,K283,0)</f>
        <v>0</v>
      </c>
      <c r="AK283" s="16">
        <f>IF(AM283=21,K283,0)</f>
        <v>0</v>
      </c>
      <c r="AM283" s="28">
        <v>21</v>
      </c>
      <c r="AN283" s="28">
        <f>H283*0.0257579393648508</f>
        <v>0</v>
      </c>
      <c r="AO283" s="28">
        <f>H283*(1-0.0257579393648508)</f>
        <v>0</v>
      </c>
      <c r="AP283" s="23" t="s">
        <v>13</v>
      </c>
      <c r="AU283" s="28">
        <f>AV283+AW283</f>
        <v>0</v>
      </c>
      <c r="AV283" s="28">
        <f>G283*AN283</f>
        <v>0</v>
      </c>
      <c r="AW283" s="28">
        <f>G283*AO283</f>
        <v>0</v>
      </c>
      <c r="AX283" s="29" t="s">
        <v>596</v>
      </c>
      <c r="AY283" s="29" t="s">
        <v>609</v>
      </c>
      <c r="AZ283" s="24" t="s">
        <v>612</v>
      </c>
      <c r="BB283" s="28">
        <f>AV283+AW283</f>
        <v>0</v>
      </c>
      <c r="BC283" s="28">
        <f>H283/(100-BD283)*100</f>
        <v>0</v>
      </c>
      <c r="BD283" s="28">
        <v>0</v>
      </c>
      <c r="BE283" s="28">
        <f>283</f>
        <v>283</v>
      </c>
      <c r="BG283" s="16">
        <f>G283*AN283</f>
        <v>0</v>
      </c>
      <c r="BH283" s="16">
        <f>G283*AO283</f>
        <v>0</v>
      </c>
      <c r="BI283" s="16">
        <f>G283*H283</f>
        <v>0</v>
      </c>
    </row>
    <row r="284" spans="3:7" ht="12.75">
      <c r="C284" s="153" t="s">
        <v>451</v>
      </c>
      <c r="D284" s="154"/>
      <c r="E284" s="154"/>
      <c r="G284" s="67">
        <v>1</v>
      </c>
    </row>
    <row r="285" spans="1:61" ht="12.75">
      <c r="A285" s="6" t="s">
        <v>73</v>
      </c>
      <c r="B285" s="6" t="s">
        <v>176</v>
      </c>
      <c r="C285" s="161" t="s">
        <v>453</v>
      </c>
      <c r="D285" s="162"/>
      <c r="E285" s="162"/>
      <c r="F285" s="6" t="s">
        <v>553</v>
      </c>
      <c r="G285" s="68">
        <v>1</v>
      </c>
      <c r="H285" s="17">
        <v>0</v>
      </c>
      <c r="I285" s="17">
        <f>G285*AN285</f>
        <v>0</v>
      </c>
      <c r="J285" s="17">
        <f>G285*AO285</f>
        <v>0</v>
      </c>
      <c r="K285" s="17">
        <f>G285*H285</f>
        <v>0</v>
      </c>
      <c r="Y285" s="28">
        <f>IF(AP285="5",BI285,0)</f>
        <v>0</v>
      </c>
      <c r="AA285" s="28">
        <f>IF(AP285="1",BG285,0)</f>
        <v>0</v>
      </c>
      <c r="AB285" s="28">
        <f>IF(AP285="1",BH285,0)</f>
        <v>0</v>
      </c>
      <c r="AC285" s="28">
        <f>IF(AP285="7",BG285,0)</f>
        <v>0</v>
      </c>
      <c r="AD285" s="28">
        <f>IF(AP285="7",BH285,0)</f>
        <v>0</v>
      </c>
      <c r="AE285" s="28">
        <f>IF(AP285="2",BG285,0)</f>
        <v>0</v>
      </c>
      <c r="AF285" s="28">
        <f>IF(AP285="2",BH285,0)</f>
        <v>0</v>
      </c>
      <c r="AG285" s="28">
        <f>IF(AP285="0",BI285,0)</f>
        <v>0</v>
      </c>
      <c r="AH285" s="24"/>
      <c r="AI285" s="17">
        <f>IF(AM285=0,K285,0)</f>
        <v>0</v>
      </c>
      <c r="AJ285" s="17">
        <f>IF(AM285=15,K285,0)</f>
        <v>0</v>
      </c>
      <c r="AK285" s="17">
        <f>IF(AM285=21,K285,0)</f>
        <v>0</v>
      </c>
      <c r="AM285" s="28">
        <v>21</v>
      </c>
      <c r="AN285" s="28">
        <f>H285*1</f>
        <v>0</v>
      </c>
      <c r="AO285" s="28">
        <f>H285*(1-1)</f>
        <v>0</v>
      </c>
      <c r="AP285" s="25" t="s">
        <v>13</v>
      </c>
      <c r="AU285" s="28">
        <f>AV285+AW285</f>
        <v>0</v>
      </c>
      <c r="AV285" s="28">
        <f>G285*AN285</f>
        <v>0</v>
      </c>
      <c r="AW285" s="28">
        <f>G285*AO285</f>
        <v>0</v>
      </c>
      <c r="AX285" s="29" t="s">
        <v>596</v>
      </c>
      <c r="AY285" s="29" t="s">
        <v>609</v>
      </c>
      <c r="AZ285" s="24" t="s">
        <v>612</v>
      </c>
      <c r="BB285" s="28">
        <f>AV285+AW285</f>
        <v>0</v>
      </c>
      <c r="BC285" s="28">
        <f>H285/(100-BD285)*100</f>
        <v>0</v>
      </c>
      <c r="BD285" s="28">
        <v>0</v>
      </c>
      <c r="BE285" s="28">
        <f>285</f>
        <v>285</v>
      </c>
      <c r="BG285" s="17">
        <f>G285*AN285</f>
        <v>0</v>
      </c>
      <c r="BH285" s="17">
        <f>G285*AO285</f>
        <v>0</v>
      </c>
      <c r="BI285" s="17">
        <f>G285*H285</f>
        <v>0</v>
      </c>
    </row>
    <row r="286" spans="3:7" ht="12.75">
      <c r="C286" s="153" t="s">
        <v>451</v>
      </c>
      <c r="D286" s="154"/>
      <c r="E286" s="154"/>
      <c r="G286" s="67">
        <v>1</v>
      </c>
    </row>
    <row r="287" spans="1:61" ht="12.75">
      <c r="A287" s="4" t="s">
        <v>74</v>
      </c>
      <c r="B287" s="4" t="s">
        <v>177</v>
      </c>
      <c r="C287" s="148" t="s">
        <v>454</v>
      </c>
      <c r="D287" s="149"/>
      <c r="E287" s="149"/>
      <c r="F287" s="4" t="s">
        <v>556</v>
      </c>
      <c r="G287" s="66">
        <v>0.002</v>
      </c>
      <c r="H287" s="16">
        <v>0</v>
      </c>
      <c r="I287" s="16">
        <f>G287*AN287</f>
        <v>0</v>
      </c>
      <c r="J287" s="16">
        <f>G287*AO287</f>
        <v>0</v>
      </c>
      <c r="K287" s="16">
        <f>G287*H287</f>
        <v>0</v>
      </c>
      <c r="Y287" s="28">
        <f>IF(AP287="5",BI287,0)</f>
        <v>0</v>
      </c>
      <c r="AA287" s="28">
        <f>IF(AP287="1",BG287,0)</f>
        <v>0</v>
      </c>
      <c r="AB287" s="28">
        <f>IF(AP287="1",BH287,0)</f>
        <v>0</v>
      </c>
      <c r="AC287" s="28">
        <f>IF(AP287="7",BG287,0)</f>
        <v>0</v>
      </c>
      <c r="AD287" s="28">
        <f>IF(AP287="7",BH287,0)</f>
        <v>0</v>
      </c>
      <c r="AE287" s="28">
        <f>IF(AP287="2",BG287,0)</f>
        <v>0</v>
      </c>
      <c r="AF287" s="28">
        <f>IF(AP287="2",BH287,0)</f>
        <v>0</v>
      </c>
      <c r="AG287" s="28">
        <f>IF(AP287="0",BI287,0)</f>
        <v>0</v>
      </c>
      <c r="AH287" s="24"/>
      <c r="AI287" s="16">
        <f>IF(AM287=0,K287,0)</f>
        <v>0</v>
      </c>
      <c r="AJ287" s="16">
        <f>IF(AM287=15,K287,0)</f>
        <v>0</v>
      </c>
      <c r="AK287" s="16">
        <f>IF(AM287=21,K287,0)</f>
        <v>0</v>
      </c>
      <c r="AM287" s="28">
        <v>21</v>
      </c>
      <c r="AN287" s="28">
        <f>H287*0</f>
        <v>0</v>
      </c>
      <c r="AO287" s="28">
        <f>H287*(1-0)</f>
        <v>0</v>
      </c>
      <c r="AP287" s="23" t="s">
        <v>11</v>
      </c>
      <c r="AU287" s="28">
        <f>AV287+AW287</f>
        <v>0</v>
      </c>
      <c r="AV287" s="28">
        <f>G287*AN287</f>
        <v>0</v>
      </c>
      <c r="AW287" s="28">
        <f>G287*AO287</f>
        <v>0</v>
      </c>
      <c r="AX287" s="29" t="s">
        <v>596</v>
      </c>
      <c r="AY287" s="29" t="s">
        <v>609</v>
      </c>
      <c r="AZ287" s="24" t="s">
        <v>612</v>
      </c>
      <c r="BB287" s="28">
        <f>AV287+AW287</f>
        <v>0</v>
      </c>
      <c r="BC287" s="28">
        <f>H287/(100-BD287)*100</f>
        <v>0</v>
      </c>
      <c r="BD287" s="28">
        <v>0</v>
      </c>
      <c r="BE287" s="28">
        <f>287</f>
        <v>287</v>
      </c>
      <c r="BG287" s="16">
        <f>G287*AN287</f>
        <v>0</v>
      </c>
      <c r="BH287" s="16">
        <f>G287*AO287</f>
        <v>0</v>
      </c>
      <c r="BI287" s="16">
        <f>G287*H287</f>
        <v>0</v>
      </c>
    </row>
    <row r="288" spans="1:46" ht="12.75">
      <c r="A288" s="5"/>
      <c r="B288" s="13" t="s">
        <v>178</v>
      </c>
      <c r="C288" s="157" t="s">
        <v>455</v>
      </c>
      <c r="D288" s="158"/>
      <c r="E288" s="158"/>
      <c r="F288" s="5" t="s">
        <v>6</v>
      </c>
      <c r="G288" s="5" t="s">
        <v>6</v>
      </c>
      <c r="H288" s="5" t="s">
        <v>6</v>
      </c>
      <c r="I288" s="31">
        <f>SUM(I289:I291)</f>
        <v>0</v>
      </c>
      <c r="J288" s="31">
        <f>SUM(J289:J291)</f>
        <v>0</v>
      </c>
      <c r="K288" s="31">
        <f>SUM(K289:K291)</f>
        <v>0</v>
      </c>
      <c r="AH288" s="24"/>
      <c r="AR288" s="31">
        <f>SUM(AI289:AI291)</f>
        <v>0</v>
      </c>
      <c r="AS288" s="31">
        <f>SUM(AJ289:AJ291)</f>
        <v>0</v>
      </c>
      <c r="AT288" s="31">
        <f>SUM(AK289:AK291)</f>
        <v>0</v>
      </c>
    </row>
    <row r="289" spans="1:61" ht="12.75">
      <c r="A289" s="4" t="s">
        <v>75</v>
      </c>
      <c r="B289" s="4" t="s">
        <v>179</v>
      </c>
      <c r="C289" s="148" t="s">
        <v>456</v>
      </c>
      <c r="D289" s="149"/>
      <c r="E289" s="149"/>
      <c r="F289" s="4" t="s">
        <v>551</v>
      </c>
      <c r="G289" s="66">
        <v>3.25</v>
      </c>
      <c r="H289" s="16">
        <v>0</v>
      </c>
      <c r="I289" s="16">
        <f>G289*AN289</f>
        <v>0</v>
      </c>
      <c r="J289" s="16">
        <f>G289*AO289</f>
        <v>0</v>
      </c>
      <c r="K289" s="16">
        <f>G289*H289</f>
        <v>0</v>
      </c>
      <c r="Y289" s="28">
        <f>IF(AP289="5",BI289,0)</f>
        <v>0</v>
      </c>
      <c r="AA289" s="28">
        <f>IF(AP289="1",BG289,0)</f>
        <v>0</v>
      </c>
      <c r="AB289" s="28">
        <f>IF(AP289="1",BH289,0)</f>
        <v>0</v>
      </c>
      <c r="AC289" s="28">
        <f>IF(AP289="7",BG289,0)</f>
        <v>0</v>
      </c>
      <c r="AD289" s="28">
        <f>IF(AP289="7",BH289,0)</f>
        <v>0</v>
      </c>
      <c r="AE289" s="28">
        <f>IF(AP289="2",BG289,0)</f>
        <v>0</v>
      </c>
      <c r="AF289" s="28">
        <f>IF(AP289="2",BH289,0)</f>
        <v>0</v>
      </c>
      <c r="AG289" s="28">
        <f>IF(AP289="0",BI289,0)</f>
        <v>0</v>
      </c>
      <c r="AH289" s="24"/>
      <c r="AI289" s="16">
        <f>IF(AM289=0,K289,0)</f>
        <v>0</v>
      </c>
      <c r="AJ289" s="16">
        <f>IF(AM289=15,K289,0)</f>
        <v>0</v>
      </c>
      <c r="AK289" s="16">
        <f>IF(AM289=21,K289,0)</f>
        <v>0</v>
      </c>
      <c r="AM289" s="28">
        <v>21</v>
      </c>
      <c r="AN289" s="28">
        <f>H289*0</f>
        <v>0</v>
      </c>
      <c r="AO289" s="28">
        <f>H289*(1-0)</f>
        <v>0</v>
      </c>
      <c r="AP289" s="23" t="s">
        <v>13</v>
      </c>
      <c r="AU289" s="28">
        <f>AV289+AW289</f>
        <v>0</v>
      </c>
      <c r="AV289" s="28">
        <f>G289*AN289</f>
        <v>0</v>
      </c>
      <c r="AW289" s="28">
        <f>G289*AO289</f>
        <v>0</v>
      </c>
      <c r="AX289" s="29" t="s">
        <v>597</v>
      </c>
      <c r="AY289" s="29" t="s">
        <v>609</v>
      </c>
      <c r="AZ289" s="24" t="s">
        <v>612</v>
      </c>
      <c r="BB289" s="28">
        <f>AV289+AW289</f>
        <v>0</v>
      </c>
      <c r="BC289" s="28">
        <f>H289/(100-BD289)*100</f>
        <v>0</v>
      </c>
      <c r="BD289" s="28">
        <v>0</v>
      </c>
      <c r="BE289" s="28">
        <f>289</f>
        <v>289</v>
      </c>
      <c r="BG289" s="16">
        <f>G289*AN289</f>
        <v>0</v>
      </c>
      <c r="BH289" s="16">
        <f>G289*AO289</f>
        <v>0</v>
      </c>
      <c r="BI289" s="16">
        <f>G289*H289</f>
        <v>0</v>
      </c>
    </row>
    <row r="290" spans="3:7" ht="12.75">
      <c r="C290" s="153" t="s">
        <v>457</v>
      </c>
      <c r="D290" s="154"/>
      <c r="E290" s="154"/>
      <c r="G290" s="67">
        <v>3.25</v>
      </c>
    </row>
    <row r="291" spans="1:61" ht="12.75">
      <c r="A291" s="4" t="s">
        <v>76</v>
      </c>
      <c r="B291" s="4" t="s">
        <v>180</v>
      </c>
      <c r="C291" s="148" t="s">
        <v>458</v>
      </c>
      <c r="D291" s="149"/>
      <c r="E291" s="149"/>
      <c r="F291" s="4" t="s">
        <v>551</v>
      </c>
      <c r="G291" s="66">
        <v>3.25</v>
      </c>
      <c r="H291" s="16">
        <v>0</v>
      </c>
      <c r="I291" s="16">
        <f>G291*AN291</f>
        <v>0</v>
      </c>
      <c r="J291" s="16">
        <f>G291*AO291</f>
        <v>0</v>
      </c>
      <c r="K291" s="16">
        <f>G291*H291</f>
        <v>0</v>
      </c>
      <c r="Y291" s="28">
        <f>IF(AP291="5",BI291,0)</f>
        <v>0</v>
      </c>
      <c r="AA291" s="28">
        <f>IF(AP291="1",BG291,0)</f>
        <v>0</v>
      </c>
      <c r="AB291" s="28">
        <f>IF(AP291="1",BH291,0)</f>
        <v>0</v>
      </c>
      <c r="AC291" s="28">
        <f>IF(AP291="7",BG291,0)</f>
        <v>0</v>
      </c>
      <c r="AD291" s="28">
        <f>IF(AP291="7",BH291,0)</f>
        <v>0</v>
      </c>
      <c r="AE291" s="28">
        <f>IF(AP291="2",BG291,0)</f>
        <v>0</v>
      </c>
      <c r="AF291" s="28">
        <f>IF(AP291="2",BH291,0)</f>
        <v>0</v>
      </c>
      <c r="AG291" s="28">
        <f>IF(AP291="0",BI291,0)</f>
        <v>0</v>
      </c>
      <c r="AH291" s="24"/>
      <c r="AI291" s="16">
        <f>IF(AM291=0,K291,0)</f>
        <v>0</v>
      </c>
      <c r="AJ291" s="16">
        <f>IF(AM291=15,K291,0)</f>
        <v>0</v>
      </c>
      <c r="AK291" s="16">
        <f>IF(AM291=21,K291,0)</f>
        <v>0</v>
      </c>
      <c r="AM291" s="28">
        <v>21</v>
      </c>
      <c r="AN291" s="28">
        <f>H291*0</f>
        <v>0</v>
      </c>
      <c r="AO291" s="28">
        <f>H291*(1-0)</f>
        <v>0</v>
      </c>
      <c r="AP291" s="23" t="s">
        <v>13</v>
      </c>
      <c r="AU291" s="28">
        <f>AV291+AW291</f>
        <v>0</v>
      </c>
      <c r="AV291" s="28">
        <f>G291*AN291</f>
        <v>0</v>
      </c>
      <c r="AW291" s="28">
        <f>G291*AO291</f>
        <v>0</v>
      </c>
      <c r="AX291" s="29" t="s">
        <v>597</v>
      </c>
      <c r="AY291" s="29" t="s">
        <v>609</v>
      </c>
      <c r="AZ291" s="24" t="s">
        <v>612</v>
      </c>
      <c r="BB291" s="28">
        <f>AV291+AW291</f>
        <v>0</v>
      </c>
      <c r="BC291" s="28">
        <f>H291/(100-BD291)*100</f>
        <v>0</v>
      </c>
      <c r="BD291" s="28">
        <v>0</v>
      </c>
      <c r="BE291" s="28">
        <f>291</f>
        <v>291</v>
      </c>
      <c r="BG291" s="16">
        <f>G291*AN291</f>
        <v>0</v>
      </c>
      <c r="BH291" s="16">
        <f>G291*AO291</f>
        <v>0</v>
      </c>
      <c r="BI291" s="16">
        <f>G291*H291</f>
        <v>0</v>
      </c>
    </row>
    <row r="292" spans="3:7" ht="12.75">
      <c r="C292" s="153" t="s">
        <v>457</v>
      </c>
      <c r="D292" s="154"/>
      <c r="E292" s="154"/>
      <c r="G292" s="67">
        <v>3.25</v>
      </c>
    </row>
    <row r="293" spans="1:46" ht="12.75">
      <c r="A293" s="5"/>
      <c r="B293" s="13" t="s">
        <v>181</v>
      </c>
      <c r="C293" s="157" t="s">
        <v>459</v>
      </c>
      <c r="D293" s="158"/>
      <c r="E293" s="158"/>
      <c r="F293" s="5" t="s">
        <v>6</v>
      </c>
      <c r="G293" s="5" t="s">
        <v>6</v>
      </c>
      <c r="H293" s="5" t="s">
        <v>6</v>
      </c>
      <c r="I293" s="31">
        <f>SUM(I294:I326)</f>
        <v>0</v>
      </c>
      <c r="J293" s="31">
        <f>SUM(J294:J326)</f>
        <v>0</v>
      </c>
      <c r="K293" s="31">
        <f>SUM(K294:K326)</f>
        <v>0</v>
      </c>
      <c r="AH293" s="24"/>
      <c r="AR293" s="31">
        <f>SUM(AI294:AI326)</f>
        <v>0</v>
      </c>
      <c r="AS293" s="31">
        <f>SUM(AJ294:AJ326)</f>
        <v>0</v>
      </c>
      <c r="AT293" s="31">
        <f>SUM(AK294:AK326)</f>
        <v>0</v>
      </c>
    </row>
    <row r="294" spans="1:61" ht="12.75">
      <c r="A294" s="4" t="s">
        <v>77</v>
      </c>
      <c r="B294" s="4" t="s">
        <v>182</v>
      </c>
      <c r="C294" s="148" t="s">
        <v>460</v>
      </c>
      <c r="D294" s="149"/>
      <c r="E294" s="149"/>
      <c r="F294" s="4" t="s">
        <v>551</v>
      </c>
      <c r="G294" s="66">
        <v>18.494</v>
      </c>
      <c r="H294" s="16">
        <v>0</v>
      </c>
      <c r="I294" s="16">
        <f>G294*AN294</f>
        <v>0</v>
      </c>
      <c r="J294" s="16">
        <f>G294*AO294</f>
        <v>0</v>
      </c>
      <c r="K294" s="16">
        <f>G294*H294</f>
        <v>0</v>
      </c>
      <c r="Y294" s="28">
        <f>IF(AP294="5",BI294,0)</f>
        <v>0</v>
      </c>
      <c r="AA294" s="28">
        <f>IF(AP294="1",BG294,0)</f>
        <v>0</v>
      </c>
      <c r="AB294" s="28">
        <f>IF(AP294="1",BH294,0)</f>
        <v>0</v>
      </c>
      <c r="AC294" s="28">
        <f>IF(AP294="7",BG294,0)</f>
        <v>0</v>
      </c>
      <c r="AD294" s="28">
        <f>IF(AP294="7",BH294,0)</f>
        <v>0</v>
      </c>
      <c r="AE294" s="28">
        <f>IF(AP294="2",BG294,0)</f>
        <v>0</v>
      </c>
      <c r="AF294" s="28">
        <f>IF(AP294="2",BH294,0)</f>
        <v>0</v>
      </c>
      <c r="AG294" s="28">
        <f>IF(AP294="0",BI294,0)</f>
        <v>0</v>
      </c>
      <c r="AH294" s="24"/>
      <c r="AI294" s="16">
        <f>IF(AM294=0,K294,0)</f>
        <v>0</v>
      </c>
      <c r="AJ294" s="16">
        <f>IF(AM294=15,K294,0)</f>
        <v>0</v>
      </c>
      <c r="AK294" s="16">
        <f>IF(AM294=21,K294,0)</f>
        <v>0</v>
      </c>
      <c r="AM294" s="28">
        <v>21</v>
      </c>
      <c r="AN294" s="28">
        <f>H294*0.36246615329015</f>
        <v>0</v>
      </c>
      <c r="AO294" s="28">
        <f>H294*(1-0.36246615329015)</f>
        <v>0</v>
      </c>
      <c r="AP294" s="23" t="s">
        <v>13</v>
      </c>
      <c r="AU294" s="28">
        <f>AV294+AW294</f>
        <v>0</v>
      </c>
      <c r="AV294" s="28">
        <f>G294*AN294</f>
        <v>0</v>
      </c>
      <c r="AW294" s="28">
        <f>G294*AO294</f>
        <v>0</v>
      </c>
      <c r="AX294" s="29" t="s">
        <v>598</v>
      </c>
      <c r="AY294" s="29" t="s">
        <v>610</v>
      </c>
      <c r="AZ294" s="24" t="s">
        <v>612</v>
      </c>
      <c r="BB294" s="28">
        <f>AV294+AW294</f>
        <v>0</v>
      </c>
      <c r="BC294" s="28">
        <f>H294/(100-BD294)*100</f>
        <v>0</v>
      </c>
      <c r="BD294" s="28">
        <v>0</v>
      </c>
      <c r="BE294" s="28">
        <f>294</f>
        <v>294</v>
      </c>
      <c r="BG294" s="16">
        <f>G294*AN294</f>
        <v>0</v>
      </c>
      <c r="BH294" s="16">
        <f>G294*AO294</f>
        <v>0</v>
      </c>
      <c r="BI294" s="16">
        <f>G294*H294</f>
        <v>0</v>
      </c>
    </row>
    <row r="295" spans="3:5" ht="12.75">
      <c r="C295" s="155" t="s">
        <v>461</v>
      </c>
      <c r="D295" s="156"/>
      <c r="E295" s="156"/>
    </row>
    <row r="296" spans="3:7" ht="12.75">
      <c r="C296" s="153" t="s">
        <v>346</v>
      </c>
      <c r="D296" s="154"/>
      <c r="E296" s="154"/>
      <c r="G296" s="67">
        <v>1.476</v>
      </c>
    </row>
    <row r="297" spans="3:7" ht="12.75">
      <c r="C297" s="153" t="s">
        <v>347</v>
      </c>
      <c r="D297" s="154"/>
      <c r="E297" s="154"/>
      <c r="G297" s="67">
        <v>0</v>
      </c>
    </row>
    <row r="298" spans="3:7" ht="12.75">
      <c r="C298" s="153" t="s">
        <v>348</v>
      </c>
      <c r="D298" s="154"/>
      <c r="E298" s="154"/>
      <c r="G298" s="67">
        <v>4.131</v>
      </c>
    </row>
    <row r="299" spans="3:7" ht="12.75">
      <c r="C299" s="153" t="s">
        <v>349</v>
      </c>
      <c r="D299" s="154"/>
      <c r="E299" s="154"/>
      <c r="G299" s="67">
        <v>3.144</v>
      </c>
    </row>
    <row r="300" spans="3:7" ht="12.75">
      <c r="C300" s="153" t="s">
        <v>350</v>
      </c>
      <c r="D300" s="154"/>
      <c r="E300" s="154"/>
      <c r="G300" s="67">
        <v>1.969</v>
      </c>
    </row>
    <row r="301" spans="3:7" ht="12.75">
      <c r="C301" s="153" t="s">
        <v>351</v>
      </c>
      <c r="D301" s="154"/>
      <c r="E301" s="154"/>
      <c r="G301" s="67">
        <v>3.194</v>
      </c>
    </row>
    <row r="302" spans="3:7" ht="12.75">
      <c r="C302" s="153" t="s">
        <v>352</v>
      </c>
      <c r="D302" s="154"/>
      <c r="E302" s="154"/>
      <c r="G302" s="67">
        <v>4.58</v>
      </c>
    </row>
    <row r="303" spans="1:61" ht="12.75">
      <c r="A303" s="4" t="s">
        <v>78</v>
      </c>
      <c r="B303" s="4" t="s">
        <v>183</v>
      </c>
      <c r="C303" s="148" t="s">
        <v>462</v>
      </c>
      <c r="D303" s="149"/>
      <c r="E303" s="149"/>
      <c r="F303" s="4" t="s">
        <v>552</v>
      </c>
      <c r="G303" s="66">
        <v>9.487</v>
      </c>
      <c r="H303" s="16">
        <v>0</v>
      </c>
      <c r="I303" s="16">
        <f>G303*AN303</f>
        <v>0</v>
      </c>
      <c r="J303" s="16">
        <f>G303*AO303</f>
        <v>0</v>
      </c>
      <c r="K303" s="16">
        <f>G303*H303</f>
        <v>0</v>
      </c>
      <c r="Y303" s="28">
        <f>IF(AP303="5",BI303,0)</f>
        <v>0</v>
      </c>
      <c r="AA303" s="28">
        <f>IF(AP303="1",BG303,0)</f>
        <v>0</v>
      </c>
      <c r="AB303" s="28">
        <f>IF(AP303="1",BH303,0)</f>
        <v>0</v>
      </c>
      <c r="AC303" s="28">
        <f>IF(AP303="7",BG303,0)</f>
        <v>0</v>
      </c>
      <c r="AD303" s="28">
        <f>IF(AP303="7",BH303,0)</f>
        <v>0</v>
      </c>
      <c r="AE303" s="28">
        <f>IF(AP303="2",BG303,0)</f>
        <v>0</v>
      </c>
      <c r="AF303" s="28">
        <f>IF(AP303="2",BH303,0)</f>
        <v>0</v>
      </c>
      <c r="AG303" s="28">
        <f>IF(AP303="0",BI303,0)</f>
        <v>0</v>
      </c>
      <c r="AH303" s="24"/>
      <c r="AI303" s="16">
        <f>IF(AM303=0,K303,0)</f>
        <v>0</v>
      </c>
      <c r="AJ303" s="16">
        <f>IF(AM303=15,K303,0)</f>
        <v>0</v>
      </c>
      <c r="AK303" s="16">
        <f>IF(AM303=21,K303,0)</f>
        <v>0</v>
      </c>
      <c r="AM303" s="28">
        <v>21</v>
      </c>
      <c r="AN303" s="28">
        <f>H303*0.0857809674391027</f>
        <v>0</v>
      </c>
      <c r="AO303" s="28">
        <f>H303*(1-0.0857809674391027)</f>
        <v>0</v>
      </c>
      <c r="AP303" s="23" t="s">
        <v>13</v>
      </c>
      <c r="AU303" s="28">
        <f>AV303+AW303</f>
        <v>0</v>
      </c>
      <c r="AV303" s="28">
        <f>G303*AN303</f>
        <v>0</v>
      </c>
      <c r="AW303" s="28">
        <f>G303*AO303</f>
        <v>0</v>
      </c>
      <c r="AX303" s="29" t="s">
        <v>598</v>
      </c>
      <c r="AY303" s="29" t="s">
        <v>610</v>
      </c>
      <c r="AZ303" s="24" t="s">
        <v>612</v>
      </c>
      <c r="BB303" s="28">
        <f>AV303+AW303</f>
        <v>0</v>
      </c>
      <c r="BC303" s="28">
        <f>H303/(100-BD303)*100</f>
        <v>0</v>
      </c>
      <c r="BD303" s="28">
        <v>0</v>
      </c>
      <c r="BE303" s="28">
        <f>303</f>
        <v>303</v>
      </c>
      <c r="BG303" s="16">
        <f>G303*AN303</f>
        <v>0</v>
      </c>
      <c r="BH303" s="16">
        <f>G303*AO303</f>
        <v>0</v>
      </c>
      <c r="BI303" s="16">
        <f>G303*H303</f>
        <v>0</v>
      </c>
    </row>
    <row r="304" spans="3:5" ht="12.75">
      <c r="C304" s="155" t="s">
        <v>463</v>
      </c>
      <c r="D304" s="156"/>
      <c r="E304" s="156"/>
    </row>
    <row r="305" spans="3:7" ht="12.75">
      <c r="C305" s="153" t="s">
        <v>355</v>
      </c>
      <c r="D305" s="154"/>
      <c r="E305" s="154"/>
      <c r="G305" s="67">
        <v>5.859</v>
      </c>
    </row>
    <row r="306" spans="3:7" ht="12.75">
      <c r="C306" s="153" t="s">
        <v>464</v>
      </c>
      <c r="D306" s="154"/>
      <c r="E306" s="154"/>
      <c r="G306" s="67">
        <v>5.478</v>
      </c>
    </row>
    <row r="307" spans="3:7" ht="12.75">
      <c r="C307" s="153" t="s">
        <v>465</v>
      </c>
      <c r="D307" s="154"/>
      <c r="E307" s="154"/>
      <c r="G307" s="67">
        <v>-1.85</v>
      </c>
    </row>
    <row r="308" spans="1:61" ht="12.75">
      <c r="A308" s="4" t="s">
        <v>79</v>
      </c>
      <c r="B308" s="4" t="s">
        <v>184</v>
      </c>
      <c r="C308" s="148" t="s">
        <v>466</v>
      </c>
      <c r="D308" s="149"/>
      <c r="E308" s="149"/>
      <c r="F308" s="4" t="s">
        <v>552</v>
      </c>
      <c r="G308" s="66">
        <v>9.487</v>
      </c>
      <c r="H308" s="16">
        <v>0</v>
      </c>
      <c r="I308" s="16">
        <f>G308*AN308</f>
        <v>0</v>
      </c>
      <c r="J308" s="16">
        <f>G308*AO308</f>
        <v>0</v>
      </c>
      <c r="K308" s="16">
        <f>G308*H308</f>
        <v>0</v>
      </c>
      <c r="Y308" s="28">
        <f>IF(AP308="5",BI308,0)</f>
        <v>0</v>
      </c>
      <c r="AA308" s="28">
        <f>IF(AP308="1",BG308,0)</f>
        <v>0</v>
      </c>
      <c r="AB308" s="28">
        <f>IF(AP308="1",BH308,0)</f>
        <v>0</v>
      </c>
      <c r="AC308" s="28">
        <f>IF(AP308="7",BG308,0)</f>
        <v>0</v>
      </c>
      <c r="AD308" s="28">
        <f>IF(AP308="7",BH308,0)</f>
        <v>0</v>
      </c>
      <c r="AE308" s="28">
        <f>IF(AP308="2",BG308,0)</f>
        <v>0</v>
      </c>
      <c r="AF308" s="28">
        <f>IF(AP308="2",BH308,0)</f>
        <v>0</v>
      </c>
      <c r="AG308" s="28">
        <f>IF(AP308="0",BI308,0)</f>
        <v>0</v>
      </c>
      <c r="AH308" s="24"/>
      <c r="AI308" s="16">
        <f>IF(AM308=0,K308,0)</f>
        <v>0</v>
      </c>
      <c r="AJ308" s="16">
        <f>IF(AM308=15,K308,0)</f>
        <v>0</v>
      </c>
      <c r="AK308" s="16">
        <f>IF(AM308=21,K308,0)</f>
        <v>0</v>
      </c>
      <c r="AM308" s="28">
        <v>21</v>
      </c>
      <c r="AN308" s="28">
        <f>H308*0.0581544012033613</f>
        <v>0</v>
      </c>
      <c r="AO308" s="28">
        <f>H308*(1-0.0581544012033613)</f>
        <v>0</v>
      </c>
      <c r="AP308" s="23" t="s">
        <v>13</v>
      </c>
      <c r="AU308" s="28">
        <f>AV308+AW308</f>
        <v>0</v>
      </c>
      <c r="AV308" s="28">
        <f>G308*AN308</f>
        <v>0</v>
      </c>
      <c r="AW308" s="28">
        <f>G308*AO308</f>
        <v>0</v>
      </c>
      <c r="AX308" s="29" t="s">
        <v>598</v>
      </c>
      <c r="AY308" s="29" t="s">
        <v>610</v>
      </c>
      <c r="AZ308" s="24" t="s">
        <v>612</v>
      </c>
      <c r="BB308" s="28">
        <f>AV308+AW308</f>
        <v>0</v>
      </c>
      <c r="BC308" s="28">
        <f>H308/(100-BD308)*100</f>
        <v>0</v>
      </c>
      <c r="BD308" s="28">
        <v>0</v>
      </c>
      <c r="BE308" s="28">
        <f>308</f>
        <v>308</v>
      </c>
      <c r="BG308" s="16">
        <f>G308*AN308</f>
        <v>0</v>
      </c>
      <c r="BH308" s="16">
        <f>G308*AO308</f>
        <v>0</v>
      </c>
      <c r="BI308" s="16">
        <f>G308*H308</f>
        <v>0</v>
      </c>
    </row>
    <row r="309" spans="1:61" ht="12.75">
      <c r="A309" s="4" t="s">
        <v>80</v>
      </c>
      <c r="B309" s="4" t="s">
        <v>185</v>
      </c>
      <c r="C309" s="148" t="s">
        <v>467</v>
      </c>
      <c r="D309" s="149"/>
      <c r="E309" s="149"/>
      <c r="F309" s="4" t="s">
        <v>551</v>
      </c>
      <c r="G309" s="66">
        <v>18.494</v>
      </c>
      <c r="H309" s="16">
        <v>0</v>
      </c>
      <c r="I309" s="16">
        <f>G309*AN309</f>
        <v>0</v>
      </c>
      <c r="J309" s="16">
        <f>G309*AO309</f>
        <v>0</v>
      </c>
      <c r="K309" s="16">
        <f>G309*H309</f>
        <v>0</v>
      </c>
      <c r="Y309" s="28">
        <f>IF(AP309="5",BI309,0)</f>
        <v>0</v>
      </c>
      <c r="AA309" s="28">
        <f>IF(AP309="1",BG309,0)</f>
        <v>0</v>
      </c>
      <c r="AB309" s="28">
        <f>IF(AP309="1",BH309,0)</f>
        <v>0</v>
      </c>
      <c r="AC309" s="28">
        <f>IF(AP309="7",BG309,0)</f>
        <v>0</v>
      </c>
      <c r="AD309" s="28">
        <f>IF(AP309="7",BH309,0)</f>
        <v>0</v>
      </c>
      <c r="AE309" s="28">
        <f>IF(AP309="2",BG309,0)</f>
        <v>0</v>
      </c>
      <c r="AF309" s="28">
        <f>IF(AP309="2",BH309,0)</f>
        <v>0</v>
      </c>
      <c r="AG309" s="28">
        <f>IF(AP309="0",BI309,0)</f>
        <v>0</v>
      </c>
      <c r="AH309" s="24"/>
      <c r="AI309" s="16">
        <f>IF(AM309=0,K309,0)</f>
        <v>0</v>
      </c>
      <c r="AJ309" s="16">
        <f>IF(AM309=15,K309,0)</f>
        <v>0</v>
      </c>
      <c r="AK309" s="16">
        <f>IF(AM309=21,K309,0)</f>
        <v>0</v>
      </c>
      <c r="AM309" s="28">
        <v>21</v>
      </c>
      <c r="AN309" s="28">
        <f>H309*0.173321944218762</f>
        <v>0</v>
      </c>
      <c r="AO309" s="28">
        <f>H309*(1-0.173321944218762)</f>
        <v>0</v>
      </c>
      <c r="AP309" s="23" t="s">
        <v>13</v>
      </c>
      <c r="AU309" s="28">
        <f>AV309+AW309</f>
        <v>0</v>
      </c>
      <c r="AV309" s="28">
        <f>G309*AN309</f>
        <v>0</v>
      </c>
      <c r="AW309" s="28">
        <f>G309*AO309</f>
        <v>0</v>
      </c>
      <c r="AX309" s="29" t="s">
        <v>598</v>
      </c>
      <c r="AY309" s="29" t="s">
        <v>610</v>
      </c>
      <c r="AZ309" s="24" t="s">
        <v>612</v>
      </c>
      <c r="BB309" s="28">
        <f>AV309+AW309</f>
        <v>0</v>
      </c>
      <c r="BC309" s="28">
        <f>H309/(100-BD309)*100</f>
        <v>0</v>
      </c>
      <c r="BD309" s="28">
        <v>0</v>
      </c>
      <c r="BE309" s="28">
        <f>309</f>
        <v>309</v>
      </c>
      <c r="BG309" s="16">
        <f>G309*AN309</f>
        <v>0</v>
      </c>
      <c r="BH309" s="16">
        <f>G309*AO309</f>
        <v>0</v>
      </c>
      <c r="BI309" s="16">
        <f>G309*H309</f>
        <v>0</v>
      </c>
    </row>
    <row r="310" spans="3:5" ht="12.75">
      <c r="C310" s="155" t="s">
        <v>468</v>
      </c>
      <c r="D310" s="156"/>
      <c r="E310" s="156"/>
    </row>
    <row r="311" spans="3:7" ht="12.75">
      <c r="C311" s="153" t="s">
        <v>469</v>
      </c>
      <c r="D311" s="154"/>
      <c r="E311" s="154"/>
      <c r="G311" s="67">
        <v>18.494</v>
      </c>
    </row>
    <row r="312" spans="1:61" ht="12.75">
      <c r="A312" s="4" t="s">
        <v>81</v>
      </c>
      <c r="B312" s="4" t="s">
        <v>186</v>
      </c>
      <c r="C312" s="148" t="s">
        <v>470</v>
      </c>
      <c r="D312" s="149"/>
      <c r="E312" s="149"/>
      <c r="F312" s="4" t="s">
        <v>552</v>
      </c>
      <c r="G312" s="66">
        <v>39.512</v>
      </c>
      <c r="H312" s="16">
        <v>0</v>
      </c>
      <c r="I312" s="16">
        <f>G312*AN312</f>
        <v>0</v>
      </c>
      <c r="J312" s="16">
        <f>G312*AO312</f>
        <v>0</v>
      </c>
      <c r="K312" s="16">
        <f>G312*H312</f>
        <v>0</v>
      </c>
      <c r="Y312" s="28">
        <f>IF(AP312="5",BI312,0)</f>
        <v>0</v>
      </c>
      <c r="AA312" s="28">
        <f>IF(AP312="1",BG312,0)</f>
        <v>0</v>
      </c>
      <c r="AB312" s="28">
        <f>IF(AP312="1",BH312,0)</f>
        <v>0</v>
      </c>
      <c r="AC312" s="28">
        <f>IF(AP312="7",BG312,0)</f>
        <v>0</v>
      </c>
      <c r="AD312" s="28">
        <f>IF(AP312="7",BH312,0)</f>
        <v>0</v>
      </c>
      <c r="AE312" s="28">
        <f>IF(AP312="2",BG312,0)</f>
        <v>0</v>
      </c>
      <c r="AF312" s="28">
        <f>IF(AP312="2",BH312,0)</f>
        <v>0</v>
      </c>
      <c r="AG312" s="28">
        <f>IF(AP312="0",BI312,0)</f>
        <v>0</v>
      </c>
      <c r="AH312" s="24"/>
      <c r="AI312" s="16">
        <f>IF(AM312=0,K312,0)</f>
        <v>0</v>
      </c>
      <c r="AJ312" s="16">
        <f>IF(AM312=15,K312,0)</f>
        <v>0</v>
      </c>
      <c r="AK312" s="16">
        <f>IF(AM312=21,K312,0)</f>
        <v>0</v>
      </c>
      <c r="AM312" s="28">
        <v>21</v>
      </c>
      <c r="AN312" s="28">
        <f>H312*0.377253426397133</f>
        <v>0</v>
      </c>
      <c r="AO312" s="28">
        <f>H312*(1-0.377253426397133)</f>
        <v>0</v>
      </c>
      <c r="AP312" s="23" t="s">
        <v>13</v>
      </c>
      <c r="AU312" s="28">
        <f>AV312+AW312</f>
        <v>0</v>
      </c>
      <c r="AV312" s="28">
        <f>G312*AN312</f>
        <v>0</v>
      </c>
      <c r="AW312" s="28">
        <f>G312*AO312</f>
        <v>0</v>
      </c>
      <c r="AX312" s="29" t="s">
        <v>598</v>
      </c>
      <c r="AY312" s="29" t="s">
        <v>610</v>
      </c>
      <c r="AZ312" s="24" t="s">
        <v>612</v>
      </c>
      <c r="BB312" s="28">
        <f>AV312+AW312</f>
        <v>0</v>
      </c>
      <c r="BC312" s="28">
        <f>H312/(100-BD312)*100</f>
        <v>0</v>
      </c>
      <c r="BD312" s="28">
        <v>0</v>
      </c>
      <c r="BE312" s="28">
        <f>312</f>
        <v>312</v>
      </c>
      <c r="BG312" s="16">
        <f>G312*AN312</f>
        <v>0</v>
      </c>
      <c r="BH312" s="16">
        <f>G312*AO312</f>
        <v>0</v>
      </c>
      <c r="BI312" s="16">
        <f>G312*H312</f>
        <v>0</v>
      </c>
    </row>
    <row r="313" spans="3:7" ht="12.75">
      <c r="C313" s="153" t="s">
        <v>354</v>
      </c>
      <c r="D313" s="154"/>
      <c r="E313" s="154"/>
      <c r="G313" s="67">
        <v>3.86</v>
      </c>
    </row>
    <row r="314" spans="3:7" ht="12.75">
      <c r="C314" s="153" t="s">
        <v>471</v>
      </c>
      <c r="D314" s="154"/>
      <c r="E314" s="154"/>
      <c r="G314" s="67">
        <v>7.94</v>
      </c>
    </row>
    <row r="315" spans="3:7" ht="12.75">
      <c r="C315" s="153" t="s">
        <v>472</v>
      </c>
      <c r="D315" s="154"/>
      <c r="E315" s="154"/>
      <c r="G315" s="67">
        <v>7.032</v>
      </c>
    </row>
    <row r="316" spans="3:7" ht="12.75">
      <c r="C316" s="153" t="s">
        <v>473</v>
      </c>
      <c r="D316" s="154"/>
      <c r="E316" s="154"/>
      <c r="G316" s="67">
        <v>4.76</v>
      </c>
    </row>
    <row r="317" spans="3:7" ht="12.75">
      <c r="C317" s="153" t="s">
        <v>474</v>
      </c>
      <c r="D317" s="154"/>
      <c r="E317" s="154"/>
      <c r="G317" s="67">
        <v>6.9</v>
      </c>
    </row>
    <row r="318" spans="3:7" ht="12.75">
      <c r="C318" s="153" t="s">
        <v>475</v>
      </c>
      <c r="D318" s="154"/>
      <c r="E318" s="154"/>
      <c r="G318" s="67">
        <v>9.02</v>
      </c>
    </row>
    <row r="319" spans="1:61" ht="12.75">
      <c r="A319" s="4" t="s">
        <v>82</v>
      </c>
      <c r="B319" s="4" t="s">
        <v>187</v>
      </c>
      <c r="C319" s="148" t="s">
        <v>476</v>
      </c>
      <c r="D319" s="149"/>
      <c r="E319" s="149"/>
      <c r="F319" s="4" t="s">
        <v>551</v>
      </c>
      <c r="G319" s="66">
        <v>16.961</v>
      </c>
      <c r="H319" s="16">
        <v>0</v>
      </c>
      <c r="I319" s="16">
        <f>G319*AN319</f>
        <v>0</v>
      </c>
      <c r="J319" s="16">
        <f>G319*AO319</f>
        <v>0</v>
      </c>
      <c r="K319" s="16">
        <f>G319*H319</f>
        <v>0</v>
      </c>
      <c r="Y319" s="28">
        <f>IF(AP319="5",BI319,0)</f>
        <v>0</v>
      </c>
      <c r="AA319" s="28">
        <f>IF(AP319="1",BG319,0)</f>
        <v>0</v>
      </c>
      <c r="AB319" s="28">
        <f>IF(AP319="1",BH319,0)</f>
        <v>0</v>
      </c>
      <c r="AC319" s="28">
        <f>IF(AP319="7",BG319,0)</f>
        <v>0</v>
      </c>
      <c r="AD319" s="28">
        <f>IF(AP319="7",BH319,0)</f>
        <v>0</v>
      </c>
      <c r="AE319" s="28">
        <f>IF(AP319="2",BG319,0)</f>
        <v>0</v>
      </c>
      <c r="AF319" s="28">
        <f>IF(AP319="2",BH319,0)</f>
        <v>0</v>
      </c>
      <c r="AG319" s="28">
        <f>IF(AP319="0",BI319,0)</f>
        <v>0</v>
      </c>
      <c r="AH319" s="24"/>
      <c r="AI319" s="16">
        <f>IF(AM319=0,K319,0)</f>
        <v>0</v>
      </c>
      <c r="AJ319" s="16">
        <f>IF(AM319=15,K319,0)</f>
        <v>0</v>
      </c>
      <c r="AK319" s="16">
        <f>IF(AM319=21,K319,0)</f>
        <v>0</v>
      </c>
      <c r="AM319" s="28">
        <v>21</v>
      </c>
      <c r="AN319" s="28">
        <f>H319*0.999993449066492</f>
        <v>0</v>
      </c>
      <c r="AO319" s="28">
        <f>H319*(1-0.999993449066492)</f>
        <v>0</v>
      </c>
      <c r="AP319" s="23" t="s">
        <v>13</v>
      </c>
      <c r="AU319" s="28">
        <f>AV319+AW319</f>
        <v>0</v>
      </c>
      <c r="AV319" s="28">
        <f>G319*AN319</f>
        <v>0</v>
      </c>
      <c r="AW319" s="28">
        <f>G319*AO319</f>
        <v>0</v>
      </c>
      <c r="AX319" s="29" t="s">
        <v>598</v>
      </c>
      <c r="AY319" s="29" t="s">
        <v>610</v>
      </c>
      <c r="AZ319" s="24" t="s">
        <v>612</v>
      </c>
      <c r="BB319" s="28">
        <f>AV319+AW319</f>
        <v>0</v>
      </c>
      <c r="BC319" s="28">
        <f>H319/(100-BD319)*100</f>
        <v>0</v>
      </c>
      <c r="BD319" s="28">
        <v>0</v>
      </c>
      <c r="BE319" s="28">
        <f>319</f>
        <v>319</v>
      </c>
      <c r="BG319" s="16">
        <f>G319*AN319</f>
        <v>0</v>
      </c>
      <c r="BH319" s="16">
        <f>G319*AO319</f>
        <v>0</v>
      </c>
      <c r="BI319" s="16">
        <f>G319*H319</f>
        <v>0</v>
      </c>
    </row>
    <row r="320" spans="3:7" ht="12.75">
      <c r="C320" s="153" t="s">
        <v>477</v>
      </c>
      <c r="D320" s="154"/>
      <c r="E320" s="154"/>
      <c r="G320" s="67">
        <v>16.961</v>
      </c>
    </row>
    <row r="321" spans="1:61" ht="12.75">
      <c r="A321" s="4" t="s">
        <v>83</v>
      </c>
      <c r="B321" s="4" t="s">
        <v>188</v>
      </c>
      <c r="C321" s="148" t="s">
        <v>478</v>
      </c>
      <c r="D321" s="149"/>
      <c r="E321" s="149"/>
      <c r="F321" s="4" t="s">
        <v>551</v>
      </c>
      <c r="G321" s="66">
        <v>1.124</v>
      </c>
      <c r="H321" s="16">
        <v>0</v>
      </c>
      <c r="I321" s="16">
        <f>G321*AN321</f>
        <v>0</v>
      </c>
      <c r="J321" s="16">
        <f>G321*AO321</f>
        <v>0</v>
      </c>
      <c r="K321" s="16">
        <f>G321*H321</f>
        <v>0</v>
      </c>
      <c r="Y321" s="28">
        <f>IF(AP321="5",BI321,0)</f>
        <v>0</v>
      </c>
      <c r="AA321" s="28">
        <f>IF(AP321="1",BG321,0)</f>
        <v>0</v>
      </c>
      <c r="AB321" s="28">
        <f>IF(AP321="1",BH321,0)</f>
        <v>0</v>
      </c>
      <c r="AC321" s="28">
        <f>IF(AP321="7",BG321,0)</f>
        <v>0</v>
      </c>
      <c r="AD321" s="28">
        <f>IF(AP321="7",BH321,0)</f>
        <v>0</v>
      </c>
      <c r="AE321" s="28">
        <f>IF(AP321="2",BG321,0)</f>
        <v>0</v>
      </c>
      <c r="AF321" s="28">
        <f>IF(AP321="2",BH321,0)</f>
        <v>0</v>
      </c>
      <c r="AG321" s="28">
        <f>IF(AP321="0",BI321,0)</f>
        <v>0</v>
      </c>
      <c r="AH321" s="24"/>
      <c r="AI321" s="16">
        <f>IF(AM321=0,K321,0)</f>
        <v>0</v>
      </c>
      <c r="AJ321" s="16">
        <f>IF(AM321=15,K321,0)</f>
        <v>0</v>
      </c>
      <c r="AK321" s="16">
        <f>IF(AM321=21,K321,0)</f>
        <v>0</v>
      </c>
      <c r="AM321" s="28">
        <v>21</v>
      </c>
      <c r="AN321" s="28">
        <f>H321*0.999877300613497</f>
        <v>0</v>
      </c>
      <c r="AO321" s="28">
        <f>H321*(1-0.999877300613497)</f>
        <v>0</v>
      </c>
      <c r="AP321" s="23" t="s">
        <v>13</v>
      </c>
      <c r="AU321" s="28">
        <f>AV321+AW321</f>
        <v>0</v>
      </c>
      <c r="AV321" s="28">
        <f>G321*AN321</f>
        <v>0</v>
      </c>
      <c r="AW321" s="28">
        <f>G321*AO321</f>
        <v>0</v>
      </c>
      <c r="AX321" s="29" t="s">
        <v>598</v>
      </c>
      <c r="AY321" s="29" t="s">
        <v>610</v>
      </c>
      <c r="AZ321" s="24" t="s">
        <v>612</v>
      </c>
      <c r="BB321" s="28">
        <f>AV321+AW321</f>
        <v>0</v>
      </c>
      <c r="BC321" s="28">
        <f>H321/(100-BD321)*100</f>
        <v>0</v>
      </c>
      <c r="BD321" s="28">
        <v>0</v>
      </c>
      <c r="BE321" s="28">
        <f>321</f>
        <v>321</v>
      </c>
      <c r="BG321" s="16">
        <f>G321*AN321</f>
        <v>0</v>
      </c>
      <c r="BH321" s="16">
        <f>G321*AO321</f>
        <v>0</v>
      </c>
      <c r="BI321" s="16">
        <f>G321*H321</f>
        <v>0</v>
      </c>
    </row>
    <row r="322" spans="3:7" ht="12.75">
      <c r="C322" s="153" t="s">
        <v>479</v>
      </c>
      <c r="D322" s="154"/>
      <c r="E322" s="154"/>
      <c r="G322" s="67">
        <v>1.124</v>
      </c>
    </row>
    <row r="323" spans="1:61" ht="12.75">
      <c r="A323" s="6" t="s">
        <v>84</v>
      </c>
      <c r="B323" s="6" t="s">
        <v>189</v>
      </c>
      <c r="C323" s="161" t="s">
        <v>480</v>
      </c>
      <c r="D323" s="162"/>
      <c r="E323" s="162"/>
      <c r="F323" s="6" t="s">
        <v>551</v>
      </c>
      <c r="G323" s="68">
        <v>20.415</v>
      </c>
      <c r="H323" s="17">
        <v>0</v>
      </c>
      <c r="I323" s="17">
        <f>G323*AN323</f>
        <v>0</v>
      </c>
      <c r="J323" s="17">
        <f>G323*AO323</f>
        <v>0</v>
      </c>
      <c r="K323" s="17">
        <f>G323*H323</f>
        <v>0</v>
      </c>
      <c r="Y323" s="28">
        <f>IF(AP323="5",BI323,0)</f>
        <v>0</v>
      </c>
      <c r="AA323" s="28">
        <f>IF(AP323="1",BG323,0)</f>
        <v>0</v>
      </c>
      <c r="AB323" s="28">
        <f>IF(AP323="1",BH323,0)</f>
        <v>0</v>
      </c>
      <c r="AC323" s="28">
        <f>IF(AP323="7",BG323,0)</f>
        <v>0</v>
      </c>
      <c r="AD323" s="28">
        <f>IF(AP323="7",BH323,0)</f>
        <v>0</v>
      </c>
      <c r="AE323" s="28">
        <f>IF(AP323="2",BG323,0)</f>
        <v>0</v>
      </c>
      <c r="AF323" s="28">
        <f>IF(AP323="2",BH323,0)</f>
        <v>0</v>
      </c>
      <c r="AG323" s="28">
        <f>IF(AP323="0",BI323,0)</f>
        <v>0</v>
      </c>
      <c r="AH323" s="24"/>
      <c r="AI323" s="17">
        <f>IF(AM323=0,K323,0)</f>
        <v>0</v>
      </c>
      <c r="AJ323" s="17">
        <f>IF(AM323=15,K323,0)</f>
        <v>0</v>
      </c>
      <c r="AK323" s="17">
        <f>IF(AM323=21,K323,0)</f>
        <v>0</v>
      </c>
      <c r="AM323" s="28">
        <v>21</v>
      </c>
      <c r="AN323" s="28">
        <f>H323*1</f>
        <v>0</v>
      </c>
      <c r="AO323" s="28">
        <f>H323*(1-1)</f>
        <v>0</v>
      </c>
      <c r="AP323" s="25" t="s">
        <v>13</v>
      </c>
      <c r="AU323" s="28">
        <f>AV323+AW323</f>
        <v>0</v>
      </c>
      <c r="AV323" s="28">
        <f>G323*AN323</f>
        <v>0</v>
      </c>
      <c r="AW323" s="28">
        <f>G323*AO323</f>
        <v>0</v>
      </c>
      <c r="AX323" s="29" t="s">
        <v>598</v>
      </c>
      <c r="AY323" s="29" t="s">
        <v>610</v>
      </c>
      <c r="AZ323" s="24" t="s">
        <v>612</v>
      </c>
      <c r="BB323" s="28">
        <f>AV323+AW323</f>
        <v>0</v>
      </c>
      <c r="BC323" s="28">
        <f>H323/(100-BD323)*100</f>
        <v>0</v>
      </c>
      <c r="BD323" s="28">
        <v>0</v>
      </c>
      <c r="BE323" s="28">
        <f>323</f>
        <v>323</v>
      </c>
      <c r="BG323" s="17">
        <f>G323*AN323</f>
        <v>0</v>
      </c>
      <c r="BH323" s="17">
        <f>G323*AO323</f>
        <v>0</v>
      </c>
      <c r="BI323" s="17">
        <f>G323*H323</f>
        <v>0</v>
      </c>
    </row>
    <row r="324" spans="3:7" ht="12.75">
      <c r="C324" s="153" t="s">
        <v>481</v>
      </c>
      <c r="D324" s="154"/>
      <c r="E324" s="154"/>
      <c r="G324" s="67">
        <v>19.443</v>
      </c>
    </row>
    <row r="325" spans="3:7" ht="12.75">
      <c r="C325" s="153" t="s">
        <v>482</v>
      </c>
      <c r="D325" s="154"/>
      <c r="E325" s="154"/>
      <c r="G325" s="67">
        <v>0.972</v>
      </c>
    </row>
    <row r="326" spans="1:61" ht="12.75">
      <c r="A326" s="4" t="s">
        <v>85</v>
      </c>
      <c r="B326" s="4" t="s">
        <v>190</v>
      </c>
      <c r="C326" s="148" t="s">
        <v>483</v>
      </c>
      <c r="D326" s="149"/>
      <c r="E326" s="149"/>
      <c r="F326" s="4" t="s">
        <v>556</v>
      </c>
      <c r="G326" s="66">
        <v>0.121</v>
      </c>
      <c r="H326" s="16">
        <v>0</v>
      </c>
      <c r="I326" s="16">
        <f>G326*AN326</f>
        <v>0</v>
      </c>
      <c r="J326" s="16">
        <f>G326*AO326</f>
        <v>0</v>
      </c>
      <c r="K326" s="16">
        <f>G326*H326</f>
        <v>0</v>
      </c>
      <c r="Y326" s="28">
        <f>IF(AP326="5",BI326,0)</f>
        <v>0</v>
      </c>
      <c r="AA326" s="28">
        <f>IF(AP326="1",BG326,0)</f>
        <v>0</v>
      </c>
      <c r="AB326" s="28">
        <f>IF(AP326="1",BH326,0)</f>
        <v>0</v>
      </c>
      <c r="AC326" s="28">
        <f>IF(AP326="7",BG326,0)</f>
        <v>0</v>
      </c>
      <c r="AD326" s="28">
        <f>IF(AP326="7",BH326,0)</f>
        <v>0</v>
      </c>
      <c r="AE326" s="28">
        <f>IF(AP326="2",BG326,0)</f>
        <v>0</v>
      </c>
      <c r="AF326" s="28">
        <f>IF(AP326="2",BH326,0)</f>
        <v>0</v>
      </c>
      <c r="AG326" s="28">
        <f>IF(AP326="0",BI326,0)</f>
        <v>0</v>
      </c>
      <c r="AH326" s="24"/>
      <c r="AI326" s="16">
        <f>IF(AM326=0,K326,0)</f>
        <v>0</v>
      </c>
      <c r="AJ326" s="16">
        <f>IF(AM326=15,K326,0)</f>
        <v>0</v>
      </c>
      <c r="AK326" s="16">
        <f>IF(AM326=21,K326,0)</f>
        <v>0</v>
      </c>
      <c r="AM326" s="28">
        <v>21</v>
      </c>
      <c r="AN326" s="28">
        <f>H326*0</f>
        <v>0</v>
      </c>
      <c r="AO326" s="28">
        <f>H326*(1-0)</f>
        <v>0</v>
      </c>
      <c r="AP326" s="23" t="s">
        <v>11</v>
      </c>
      <c r="AU326" s="28">
        <f>AV326+AW326</f>
        <v>0</v>
      </c>
      <c r="AV326" s="28">
        <f>G326*AN326</f>
        <v>0</v>
      </c>
      <c r="AW326" s="28">
        <f>G326*AO326</f>
        <v>0</v>
      </c>
      <c r="AX326" s="29" t="s">
        <v>598</v>
      </c>
      <c r="AY326" s="29" t="s">
        <v>610</v>
      </c>
      <c r="AZ326" s="24" t="s">
        <v>612</v>
      </c>
      <c r="BB326" s="28">
        <f>AV326+AW326</f>
        <v>0</v>
      </c>
      <c r="BC326" s="28">
        <f>H326/(100-BD326)*100</f>
        <v>0</v>
      </c>
      <c r="BD326" s="28">
        <v>0</v>
      </c>
      <c r="BE326" s="28">
        <f>326</f>
        <v>326</v>
      </c>
      <c r="BG326" s="16">
        <f>G326*AN326</f>
        <v>0</v>
      </c>
      <c r="BH326" s="16">
        <f>G326*AO326</f>
        <v>0</v>
      </c>
      <c r="BI326" s="16">
        <f>G326*H326</f>
        <v>0</v>
      </c>
    </row>
    <row r="327" spans="1:46" ht="12.75">
      <c r="A327" s="5"/>
      <c r="B327" s="13" t="s">
        <v>191</v>
      </c>
      <c r="C327" s="157" t="s">
        <v>484</v>
      </c>
      <c r="D327" s="158"/>
      <c r="E327" s="158"/>
      <c r="F327" s="5" t="s">
        <v>6</v>
      </c>
      <c r="G327" s="5" t="s">
        <v>6</v>
      </c>
      <c r="H327" s="5" t="s">
        <v>6</v>
      </c>
      <c r="I327" s="31">
        <f>SUM(I328:I331)</f>
        <v>0</v>
      </c>
      <c r="J327" s="31">
        <f>SUM(J328:J331)</f>
        <v>0</v>
      </c>
      <c r="K327" s="31">
        <f>SUM(K328:K331)</f>
        <v>0</v>
      </c>
      <c r="AH327" s="24"/>
      <c r="AR327" s="31">
        <f>SUM(AI328:AI331)</f>
        <v>0</v>
      </c>
      <c r="AS327" s="31">
        <f>SUM(AJ328:AJ331)</f>
        <v>0</v>
      </c>
      <c r="AT327" s="31">
        <f>SUM(AK328:AK331)</f>
        <v>0</v>
      </c>
    </row>
    <row r="328" spans="1:61" ht="12.75">
      <c r="A328" s="4" t="s">
        <v>86</v>
      </c>
      <c r="B328" s="4" t="s">
        <v>192</v>
      </c>
      <c r="C328" s="148" t="s">
        <v>485</v>
      </c>
      <c r="D328" s="149"/>
      <c r="E328" s="149"/>
      <c r="F328" s="4" t="s">
        <v>551</v>
      </c>
      <c r="G328" s="66">
        <v>1.476</v>
      </c>
      <c r="H328" s="16">
        <v>0</v>
      </c>
      <c r="I328" s="16">
        <f>G328*AN328</f>
        <v>0</v>
      </c>
      <c r="J328" s="16">
        <f>G328*AO328</f>
        <v>0</v>
      </c>
      <c r="K328" s="16">
        <f>G328*H328</f>
        <v>0</v>
      </c>
      <c r="Y328" s="28">
        <f>IF(AP328="5",BI328,0)</f>
        <v>0</v>
      </c>
      <c r="AA328" s="28">
        <f>IF(AP328="1",BG328,0)</f>
        <v>0</v>
      </c>
      <c r="AB328" s="28">
        <f>IF(AP328="1",BH328,0)</f>
        <v>0</v>
      </c>
      <c r="AC328" s="28">
        <f>IF(AP328="7",BG328,0)</f>
        <v>0</v>
      </c>
      <c r="AD328" s="28">
        <f>IF(AP328="7",BH328,0)</f>
        <v>0</v>
      </c>
      <c r="AE328" s="28">
        <f>IF(AP328="2",BG328,0)</f>
        <v>0</v>
      </c>
      <c r="AF328" s="28">
        <f>IF(AP328="2",BH328,0)</f>
        <v>0</v>
      </c>
      <c r="AG328" s="28">
        <f>IF(AP328="0",BI328,0)</f>
        <v>0</v>
      </c>
      <c r="AH328" s="24"/>
      <c r="AI328" s="16">
        <f>IF(AM328=0,K328,0)</f>
        <v>0</v>
      </c>
      <c r="AJ328" s="16">
        <f>IF(AM328=15,K328,0)</f>
        <v>0</v>
      </c>
      <c r="AK328" s="16">
        <f>IF(AM328=21,K328,0)</f>
        <v>0</v>
      </c>
      <c r="AM328" s="28">
        <v>21</v>
      </c>
      <c r="AN328" s="28">
        <f>H328*0.390447093889717</f>
        <v>0</v>
      </c>
      <c r="AO328" s="28">
        <f>H328*(1-0.390447093889717)</f>
        <v>0</v>
      </c>
      <c r="AP328" s="23" t="s">
        <v>13</v>
      </c>
      <c r="AU328" s="28">
        <f>AV328+AW328</f>
        <v>0</v>
      </c>
      <c r="AV328" s="28">
        <f>G328*AN328</f>
        <v>0</v>
      </c>
      <c r="AW328" s="28">
        <f>G328*AO328</f>
        <v>0</v>
      </c>
      <c r="AX328" s="29" t="s">
        <v>599</v>
      </c>
      <c r="AY328" s="29" t="s">
        <v>610</v>
      </c>
      <c r="AZ328" s="24" t="s">
        <v>612</v>
      </c>
      <c r="BB328" s="28">
        <f>AV328+AW328</f>
        <v>0</v>
      </c>
      <c r="BC328" s="28">
        <f>H328/(100-BD328)*100</f>
        <v>0</v>
      </c>
      <c r="BD328" s="28">
        <v>0</v>
      </c>
      <c r="BE328" s="28">
        <f>328</f>
        <v>328</v>
      </c>
      <c r="BG328" s="16">
        <f>G328*AN328</f>
        <v>0</v>
      </c>
      <c r="BH328" s="16">
        <f>G328*AO328</f>
        <v>0</v>
      </c>
      <c r="BI328" s="16">
        <f>G328*H328</f>
        <v>0</v>
      </c>
    </row>
    <row r="329" spans="3:5" ht="12.75">
      <c r="C329" s="155" t="s">
        <v>486</v>
      </c>
      <c r="D329" s="156"/>
      <c r="E329" s="156"/>
    </row>
    <row r="330" spans="3:7" ht="12.75">
      <c r="C330" s="153" t="s">
        <v>234</v>
      </c>
      <c r="D330" s="154"/>
      <c r="E330" s="154"/>
      <c r="G330" s="67">
        <v>1.476</v>
      </c>
    </row>
    <row r="331" spans="1:61" ht="12.75">
      <c r="A331" s="4" t="s">
        <v>87</v>
      </c>
      <c r="B331" s="4" t="s">
        <v>193</v>
      </c>
      <c r="C331" s="148" t="s">
        <v>487</v>
      </c>
      <c r="D331" s="149"/>
      <c r="E331" s="149"/>
      <c r="F331" s="4" t="s">
        <v>556</v>
      </c>
      <c r="G331" s="66">
        <v>0.014</v>
      </c>
      <c r="H331" s="16">
        <v>0</v>
      </c>
      <c r="I331" s="16">
        <f>G331*AN331</f>
        <v>0</v>
      </c>
      <c r="J331" s="16">
        <f>G331*AO331</f>
        <v>0</v>
      </c>
      <c r="K331" s="16">
        <f>G331*H331</f>
        <v>0</v>
      </c>
      <c r="Y331" s="28">
        <f>IF(AP331="5",BI331,0)</f>
        <v>0</v>
      </c>
      <c r="AA331" s="28">
        <f>IF(AP331="1",BG331,0)</f>
        <v>0</v>
      </c>
      <c r="AB331" s="28">
        <f>IF(AP331="1",BH331,0)</f>
        <v>0</v>
      </c>
      <c r="AC331" s="28">
        <f>IF(AP331="7",BG331,0)</f>
        <v>0</v>
      </c>
      <c r="AD331" s="28">
        <f>IF(AP331="7",BH331,0)</f>
        <v>0</v>
      </c>
      <c r="AE331" s="28">
        <f>IF(AP331="2",BG331,0)</f>
        <v>0</v>
      </c>
      <c r="AF331" s="28">
        <f>IF(AP331="2",BH331,0)</f>
        <v>0</v>
      </c>
      <c r="AG331" s="28">
        <f>IF(AP331="0",BI331,0)</f>
        <v>0</v>
      </c>
      <c r="AH331" s="24"/>
      <c r="AI331" s="16">
        <f>IF(AM331=0,K331,0)</f>
        <v>0</v>
      </c>
      <c r="AJ331" s="16">
        <f>IF(AM331=15,K331,0)</f>
        <v>0</v>
      </c>
      <c r="AK331" s="16">
        <f>IF(AM331=21,K331,0)</f>
        <v>0</v>
      </c>
      <c r="AM331" s="28">
        <v>21</v>
      </c>
      <c r="AN331" s="28">
        <f>H331*0</f>
        <v>0</v>
      </c>
      <c r="AO331" s="28">
        <f>H331*(1-0)</f>
        <v>0</v>
      </c>
      <c r="AP331" s="23" t="s">
        <v>11</v>
      </c>
      <c r="AU331" s="28">
        <f>AV331+AW331</f>
        <v>0</v>
      </c>
      <c r="AV331" s="28">
        <f>G331*AN331</f>
        <v>0</v>
      </c>
      <c r="AW331" s="28">
        <f>G331*AO331</f>
        <v>0</v>
      </c>
      <c r="AX331" s="29" t="s">
        <v>599</v>
      </c>
      <c r="AY331" s="29" t="s">
        <v>610</v>
      </c>
      <c r="AZ331" s="24" t="s">
        <v>612</v>
      </c>
      <c r="BB331" s="28">
        <f>AV331+AW331</f>
        <v>0</v>
      </c>
      <c r="BC331" s="28">
        <f>H331/(100-BD331)*100</f>
        <v>0</v>
      </c>
      <c r="BD331" s="28">
        <v>0</v>
      </c>
      <c r="BE331" s="28">
        <f>331</f>
        <v>331</v>
      </c>
      <c r="BG331" s="16">
        <f>G331*AN331</f>
        <v>0</v>
      </c>
      <c r="BH331" s="16">
        <f>G331*AO331</f>
        <v>0</v>
      </c>
      <c r="BI331" s="16">
        <f>G331*H331</f>
        <v>0</v>
      </c>
    </row>
    <row r="332" spans="1:46" ht="12.75">
      <c r="A332" s="5"/>
      <c r="B332" s="13" t="s">
        <v>194</v>
      </c>
      <c r="C332" s="157" t="s">
        <v>488</v>
      </c>
      <c r="D332" s="158"/>
      <c r="E332" s="158"/>
      <c r="F332" s="5" t="s">
        <v>6</v>
      </c>
      <c r="G332" s="5" t="s">
        <v>6</v>
      </c>
      <c r="H332" s="5" t="s">
        <v>6</v>
      </c>
      <c r="I332" s="31">
        <f>SUM(I333:I372)</f>
        <v>0</v>
      </c>
      <c r="J332" s="31">
        <f>SUM(J333:J372)</f>
        <v>0</v>
      </c>
      <c r="K332" s="31">
        <f>SUM(K333:K372)</f>
        <v>0</v>
      </c>
      <c r="AH332" s="24"/>
      <c r="AR332" s="31">
        <f>SUM(AI333:AI372)</f>
        <v>0</v>
      </c>
      <c r="AS332" s="31">
        <f>SUM(AJ333:AJ372)</f>
        <v>0</v>
      </c>
      <c r="AT332" s="31">
        <f>SUM(AK333:AK372)</f>
        <v>0</v>
      </c>
    </row>
    <row r="333" spans="1:61" ht="12.75">
      <c r="A333" s="4" t="s">
        <v>88</v>
      </c>
      <c r="B333" s="4" t="s">
        <v>195</v>
      </c>
      <c r="C333" s="148" t="s">
        <v>489</v>
      </c>
      <c r="D333" s="149"/>
      <c r="E333" s="149"/>
      <c r="F333" s="4" t="s">
        <v>551</v>
      </c>
      <c r="G333" s="66">
        <v>66.754</v>
      </c>
      <c r="H333" s="16">
        <v>0</v>
      </c>
      <c r="I333" s="16">
        <f>G333*AN333</f>
        <v>0</v>
      </c>
      <c r="J333" s="16">
        <f>G333*AO333</f>
        <v>0</v>
      </c>
      <c r="K333" s="16">
        <f>G333*H333</f>
        <v>0</v>
      </c>
      <c r="Y333" s="28">
        <f>IF(AP333="5",BI333,0)</f>
        <v>0</v>
      </c>
      <c r="AA333" s="28">
        <f>IF(AP333="1",BG333,0)</f>
        <v>0</v>
      </c>
      <c r="AB333" s="28">
        <f>IF(AP333="1",BH333,0)</f>
        <v>0</v>
      </c>
      <c r="AC333" s="28">
        <f>IF(AP333="7",BG333,0)</f>
        <v>0</v>
      </c>
      <c r="AD333" s="28">
        <f>IF(AP333="7",BH333,0)</f>
        <v>0</v>
      </c>
      <c r="AE333" s="28">
        <f>IF(AP333="2",BG333,0)</f>
        <v>0</v>
      </c>
      <c r="AF333" s="28">
        <f>IF(AP333="2",BH333,0)</f>
        <v>0</v>
      </c>
      <c r="AG333" s="28">
        <f>IF(AP333="0",BI333,0)</f>
        <v>0</v>
      </c>
      <c r="AH333" s="24"/>
      <c r="AI333" s="16">
        <f>IF(AM333=0,K333,0)</f>
        <v>0</v>
      </c>
      <c r="AJ333" s="16">
        <f>IF(AM333=15,K333,0)</f>
        <v>0</v>
      </c>
      <c r="AK333" s="16">
        <f>IF(AM333=21,K333,0)</f>
        <v>0</v>
      </c>
      <c r="AM333" s="28">
        <v>21</v>
      </c>
      <c r="AN333" s="28">
        <f>H333*0.466666817007403</f>
        <v>0</v>
      </c>
      <c r="AO333" s="28">
        <f>H333*(1-0.466666817007403)</f>
        <v>0</v>
      </c>
      <c r="AP333" s="23" t="s">
        <v>13</v>
      </c>
      <c r="AU333" s="28">
        <f>AV333+AW333</f>
        <v>0</v>
      </c>
      <c r="AV333" s="28">
        <f>G333*AN333</f>
        <v>0</v>
      </c>
      <c r="AW333" s="28">
        <f>G333*AO333</f>
        <v>0</v>
      </c>
      <c r="AX333" s="29" t="s">
        <v>600</v>
      </c>
      <c r="AY333" s="29" t="s">
        <v>611</v>
      </c>
      <c r="AZ333" s="24" t="s">
        <v>612</v>
      </c>
      <c r="BB333" s="28">
        <f>AV333+AW333</f>
        <v>0</v>
      </c>
      <c r="BC333" s="28">
        <f>H333/(100-BD333)*100</f>
        <v>0</v>
      </c>
      <c r="BD333" s="28">
        <v>0</v>
      </c>
      <c r="BE333" s="28">
        <f>333</f>
        <v>333</v>
      </c>
      <c r="BG333" s="16">
        <f>G333*AN333</f>
        <v>0</v>
      </c>
      <c r="BH333" s="16">
        <f>G333*AO333</f>
        <v>0</v>
      </c>
      <c r="BI333" s="16">
        <f>G333*H333</f>
        <v>0</v>
      </c>
    </row>
    <row r="334" spans="3:7" ht="12.75">
      <c r="C334" s="153" t="s">
        <v>490</v>
      </c>
      <c r="D334" s="154"/>
      <c r="E334" s="154"/>
      <c r="G334" s="67">
        <v>8.106</v>
      </c>
    </row>
    <row r="335" spans="3:7" ht="12.75">
      <c r="C335" s="153" t="s">
        <v>491</v>
      </c>
      <c r="D335" s="154"/>
      <c r="E335" s="154"/>
      <c r="G335" s="67">
        <v>1.275</v>
      </c>
    </row>
    <row r="336" spans="3:7" ht="12.75">
      <c r="C336" s="153" t="s">
        <v>492</v>
      </c>
      <c r="D336" s="154"/>
      <c r="E336" s="154"/>
      <c r="G336" s="67">
        <v>8</v>
      </c>
    </row>
    <row r="337" spans="3:7" ht="12.75">
      <c r="C337" s="153" t="s">
        <v>493</v>
      </c>
      <c r="D337" s="154"/>
      <c r="E337" s="154"/>
      <c r="G337" s="67">
        <v>2.326</v>
      </c>
    </row>
    <row r="338" spans="3:7" ht="12.75">
      <c r="C338" s="153" t="s">
        <v>494</v>
      </c>
      <c r="D338" s="154"/>
      <c r="E338" s="154"/>
      <c r="G338" s="67">
        <v>7.88</v>
      </c>
    </row>
    <row r="339" spans="3:7" ht="12.75">
      <c r="C339" s="153" t="s">
        <v>256</v>
      </c>
      <c r="D339" s="154"/>
      <c r="E339" s="154"/>
      <c r="G339" s="67">
        <v>9.562</v>
      </c>
    </row>
    <row r="340" spans="3:7" ht="12.75">
      <c r="C340" s="153" t="s">
        <v>495</v>
      </c>
      <c r="D340" s="154"/>
      <c r="E340" s="154"/>
      <c r="G340" s="67">
        <v>3.6</v>
      </c>
    </row>
    <row r="341" spans="3:7" ht="12.75">
      <c r="C341" s="153" t="s">
        <v>496</v>
      </c>
      <c r="D341" s="154"/>
      <c r="E341" s="154"/>
      <c r="G341" s="67">
        <v>8.263</v>
      </c>
    </row>
    <row r="342" spans="3:7" ht="12.75">
      <c r="C342" s="153" t="s">
        <v>258</v>
      </c>
      <c r="D342" s="154"/>
      <c r="E342" s="154"/>
      <c r="G342" s="67">
        <v>6.941</v>
      </c>
    </row>
    <row r="343" spans="3:7" ht="12.75">
      <c r="C343" s="153" t="s">
        <v>497</v>
      </c>
      <c r="D343" s="154"/>
      <c r="E343" s="154"/>
      <c r="G343" s="67">
        <v>6.901</v>
      </c>
    </row>
    <row r="344" spans="3:7" ht="12.75">
      <c r="C344" s="153" t="s">
        <v>261</v>
      </c>
      <c r="D344" s="154"/>
      <c r="E344" s="154"/>
      <c r="G344" s="67">
        <v>1.95</v>
      </c>
    </row>
    <row r="345" spans="3:7" ht="12.75">
      <c r="C345" s="153" t="s">
        <v>262</v>
      </c>
      <c r="D345" s="154"/>
      <c r="E345" s="154"/>
      <c r="G345" s="67">
        <v>1.95</v>
      </c>
    </row>
    <row r="346" spans="1:61" ht="12.75">
      <c r="A346" s="4" t="s">
        <v>89</v>
      </c>
      <c r="B346" s="4" t="s">
        <v>196</v>
      </c>
      <c r="C346" s="148" t="s">
        <v>498</v>
      </c>
      <c r="D346" s="149"/>
      <c r="E346" s="149"/>
      <c r="F346" s="4" t="s">
        <v>551</v>
      </c>
      <c r="G346" s="66">
        <v>66.754</v>
      </c>
      <c r="H346" s="16">
        <v>0</v>
      </c>
      <c r="I346" s="16">
        <f>G346*AN346</f>
        <v>0</v>
      </c>
      <c r="J346" s="16">
        <f>G346*AO346</f>
        <v>0</v>
      </c>
      <c r="K346" s="16">
        <f>G346*H346</f>
        <v>0</v>
      </c>
      <c r="Y346" s="28">
        <f>IF(AP346="5",BI346,0)</f>
        <v>0</v>
      </c>
      <c r="AA346" s="28">
        <f>IF(AP346="1",BG346,0)</f>
        <v>0</v>
      </c>
      <c r="AB346" s="28">
        <f>IF(AP346="1",BH346,0)</f>
        <v>0</v>
      </c>
      <c r="AC346" s="28">
        <f>IF(AP346="7",BG346,0)</f>
        <v>0</v>
      </c>
      <c r="AD346" s="28">
        <f>IF(AP346="7",BH346,0)</f>
        <v>0</v>
      </c>
      <c r="AE346" s="28">
        <f>IF(AP346="2",BG346,0)</f>
        <v>0</v>
      </c>
      <c r="AF346" s="28">
        <f>IF(AP346="2",BH346,0)</f>
        <v>0</v>
      </c>
      <c r="AG346" s="28">
        <f>IF(AP346="0",BI346,0)</f>
        <v>0</v>
      </c>
      <c r="AH346" s="24"/>
      <c r="AI346" s="16">
        <f>IF(AM346=0,K346,0)</f>
        <v>0</v>
      </c>
      <c r="AJ346" s="16">
        <f>IF(AM346=15,K346,0)</f>
        <v>0</v>
      </c>
      <c r="AK346" s="16">
        <f>IF(AM346=21,K346,0)</f>
        <v>0</v>
      </c>
      <c r="AM346" s="28">
        <v>21</v>
      </c>
      <c r="AN346" s="28">
        <f>H346*0</f>
        <v>0</v>
      </c>
      <c r="AO346" s="28">
        <f>H346*(1-0)</f>
        <v>0</v>
      </c>
      <c r="AP346" s="23" t="s">
        <v>13</v>
      </c>
      <c r="AU346" s="28">
        <f>AV346+AW346</f>
        <v>0</v>
      </c>
      <c r="AV346" s="28">
        <f>G346*AN346</f>
        <v>0</v>
      </c>
      <c r="AW346" s="28">
        <f>G346*AO346</f>
        <v>0</v>
      </c>
      <c r="AX346" s="29" t="s">
        <v>600</v>
      </c>
      <c r="AY346" s="29" t="s">
        <v>611</v>
      </c>
      <c r="AZ346" s="24" t="s">
        <v>612</v>
      </c>
      <c r="BB346" s="28">
        <f>AV346+AW346</f>
        <v>0</v>
      </c>
      <c r="BC346" s="28">
        <f>H346/(100-BD346)*100</f>
        <v>0</v>
      </c>
      <c r="BD346" s="28">
        <v>0</v>
      </c>
      <c r="BE346" s="28">
        <f>346</f>
        <v>346</v>
      </c>
      <c r="BG346" s="16">
        <f>G346*AN346</f>
        <v>0</v>
      </c>
      <c r="BH346" s="16">
        <f>G346*AO346</f>
        <v>0</v>
      </c>
      <c r="BI346" s="16">
        <f>G346*H346</f>
        <v>0</v>
      </c>
    </row>
    <row r="347" spans="3:7" ht="12.75">
      <c r="C347" s="153" t="s">
        <v>490</v>
      </c>
      <c r="D347" s="154"/>
      <c r="E347" s="154"/>
      <c r="G347" s="67">
        <v>8.106</v>
      </c>
    </row>
    <row r="348" spans="3:7" ht="12.75">
      <c r="C348" s="153" t="s">
        <v>491</v>
      </c>
      <c r="D348" s="154"/>
      <c r="E348" s="154"/>
      <c r="G348" s="67">
        <v>1.275</v>
      </c>
    </row>
    <row r="349" spans="3:7" ht="12.75">
      <c r="C349" s="153" t="s">
        <v>499</v>
      </c>
      <c r="D349" s="154"/>
      <c r="E349" s="154"/>
      <c r="G349" s="67">
        <v>18.206</v>
      </c>
    </row>
    <row r="350" spans="3:7" ht="12.75">
      <c r="C350" s="153" t="s">
        <v>256</v>
      </c>
      <c r="D350" s="154"/>
      <c r="E350" s="154"/>
      <c r="G350" s="67">
        <v>9.562</v>
      </c>
    </row>
    <row r="351" spans="3:7" ht="12.75">
      <c r="C351" s="153" t="s">
        <v>500</v>
      </c>
      <c r="D351" s="154"/>
      <c r="E351" s="154"/>
      <c r="G351" s="67">
        <v>25.705</v>
      </c>
    </row>
    <row r="352" spans="3:7" ht="12.75">
      <c r="C352" s="153" t="s">
        <v>261</v>
      </c>
      <c r="D352" s="154"/>
      <c r="E352" s="154"/>
      <c r="G352" s="67">
        <v>1.95</v>
      </c>
    </row>
    <row r="353" spans="3:7" ht="12.75">
      <c r="C353" s="153" t="s">
        <v>262</v>
      </c>
      <c r="D353" s="154"/>
      <c r="E353" s="154"/>
      <c r="G353" s="67">
        <v>1.95</v>
      </c>
    </row>
    <row r="354" spans="1:61" ht="12.75">
      <c r="A354" s="4" t="s">
        <v>90</v>
      </c>
      <c r="B354" s="4" t="s">
        <v>197</v>
      </c>
      <c r="C354" s="148" t="s">
        <v>501</v>
      </c>
      <c r="D354" s="149"/>
      <c r="E354" s="149"/>
      <c r="F354" s="4" t="s">
        <v>552</v>
      </c>
      <c r="G354" s="66">
        <v>52.973</v>
      </c>
      <c r="H354" s="16">
        <v>0</v>
      </c>
      <c r="I354" s="16">
        <f>G354*AN354</f>
        <v>0</v>
      </c>
      <c r="J354" s="16">
        <f>G354*AO354</f>
        <v>0</v>
      </c>
      <c r="K354" s="16">
        <f>G354*H354</f>
        <v>0</v>
      </c>
      <c r="Y354" s="28">
        <f>IF(AP354="5",BI354,0)</f>
        <v>0</v>
      </c>
      <c r="AA354" s="28">
        <f>IF(AP354="1",BG354,0)</f>
        <v>0</v>
      </c>
      <c r="AB354" s="28">
        <f>IF(AP354="1",BH354,0)</f>
        <v>0</v>
      </c>
      <c r="AC354" s="28">
        <f>IF(AP354="7",BG354,0)</f>
        <v>0</v>
      </c>
      <c r="AD354" s="28">
        <f>IF(AP354="7",BH354,0)</f>
        <v>0</v>
      </c>
      <c r="AE354" s="28">
        <f>IF(AP354="2",BG354,0)</f>
        <v>0</v>
      </c>
      <c r="AF354" s="28">
        <f>IF(AP354="2",BH354,0)</f>
        <v>0</v>
      </c>
      <c r="AG354" s="28">
        <f>IF(AP354="0",BI354,0)</f>
        <v>0</v>
      </c>
      <c r="AH354" s="24"/>
      <c r="AI354" s="16">
        <f>IF(AM354=0,K354,0)</f>
        <v>0</v>
      </c>
      <c r="AJ354" s="16">
        <f>IF(AM354=15,K354,0)</f>
        <v>0</v>
      </c>
      <c r="AK354" s="16">
        <f>IF(AM354=21,K354,0)</f>
        <v>0</v>
      </c>
      <c r="AM354" s="28">
        <v>21</v>
      </c>
      <c r="AN354" s="28">
        <f>H354*0.52200433582972</f>
        <v>0</v>
      </c>
      <c r="AO354" s="28">
        <f>H354*(1-0.52200433582972)</f>
        <v>0</v>
      </c>
      <c r="AP354" s="23" t="s">
        <v>13</v>
      </c>
      <c r="AU354" s="28">
        <f>AV354+AW354</f>
        <v>0</v>
      </c>
      <c r="AV354" s="28">
        <f>G354*AN354</f>
        <v>0</v>
      </c>
      <c r="AW354" s="28">
        <f>G354*AO354</f>
        <v>0</v>
      </c>
      <c r="AX354" s="29" t="s">
        <v>600</v>
      </c>
      <c r="AY354" s="29" t="s">
        <v>611</v>
      </c>
      <c r="AZ354" s="24" t="s">
        <v>612</v>
      </c>
      <c r="BB354" s="28">
        <f>AV354+AW354</f>
        <v>0</v>
      </c>
      <c r="BC354" s="28">
        <f>H354/(100-BD354)*100</f>
        <v>0</v>
      </c>
      <c r="BD354" s="28">
        <v>0</v>
      </c>
      <c r="BE354" s="28">
        <f>354</f>
        <v>354</v>
      </c>
      <c r="BG354" s="16">
        <f>G354*AN354</f>
        <v>0</v>
      </c>
      <c r="BH354" s="16">
        <f>G354*AO354</f>
        <v>0</v>
      </c>
      <c r="BI354" s="16">
        <f>G354*H354</f>
        <v>0</v>
      </c>
    </row>
    <row r="355" spans="3:7" ht="12.75">
      <c r="C355" s="153" t="s">
        <v>354</v>
      </c>
      <c r="D355" s="154"/>
      <c r="E355" s="154"/>
      <c r="G355" s="67">
        <v>3.86</v>
      </c>
    </row>
    <row r="356" spans="3:7" ht="12.75">
      <c r="C356" s="153" t="s">
        <v>502</v>
      </c>
      <c r="D356" s="154"/>
      <c r="E356" s="154"/>
      <c r="G356" s="67">
        <v>3.85</v>
      </c>
    </row>
    <row r="357" spans="3:7" ht="12.75">
      <c r="C357" s="153" t="s">
        <v>503</v>
      </c>
      <c r="D357" s="154"/>
      <c r="E357" s="154"/>
      <c r="G357" s="67">
        <v>4</v>
      </c>
    </row>
    <row r="358" spans="3:7" ht="12.75">
      <c r="C358" s="153" t="s">
        <v>504</v>
      </c>
      <c r="D358" s="154"/>
      <c r="E358" s="154"/>
      <c r="G358" s="67">
        <v>5.163</v>
      </c>
    </row>
    <row r="359" spans="3:7" ht="12.75">
      <c r="C359" s="153" t="s">
        <v>505</v>
      </c>
      <c r="D359" s="154"/>
      <c r="E359" s="154"/>
      <c r="G359" s="67">
        <v>3.94</v>
      </c>
    </row>
    <row r="360" spans="3:7" ht="12.75">
      <c r="C360" s="153" t="s">
        <v>506</v>
      </c>
      <c r="D360" s="154"/>
      <c r="E360" s="154"/>
      <c r="G360" s="67">
        <v>6.76</v>
      </c>
    </row>
    <row r="361" spans="3:7" ht="12.75">
      <c r="C361" s="153" t="s">
        <v>507</v>
      </c>
      <c r="D361" s="154"/>
      <c r="E361" s="154"/>
      <c r="G361" s="67">
        <v>6.9</v>
      </c>
    </row>
    <row r="362" spans="3:7" ht="12.75">
      <c r="C362" s="153" t="s">
        <v>508</v>
      </c>
      <c r="D362" s="154"/>
      <c r="E362" s="154"/>
      <c r="G362" s="67">
        <v>4.1</v>
      </c>
    </row>
    <row r="363" spans="3:7" ht="12.75">
      <c r="C363" s="153" t="s">
        <v>509</v>
      </c>
      <c r="D363" s="154"/>
      <c r="E363" s="154"/>
      <c r="G363" s="67">
        <v>5.8</v>
      </c>
    </row>
    <row r="364" spans="3:7" ht="12.75">
      <c r="C364" s="153" t="s">
        <v>510</v>
      </c>
      <c r="D364" s="154"/>
      <c r="E364" s="154"/>
      <c r="G364" s="67">
        <v>4.3</v>
      </c>
    </row>
    <row r="365" spans="3:7" ht="12.75">
      <c r="C365" s="153" t="s">
        <v>511</v>
      </c>
      <c r="D365" s="154"/>
      <c r="E365" s="154"/>
      <c r="G365" s="67">
        <v>4.3</v>
      </c>
    </row>
    <row r="366" spans="1:61" ht="12.75">
      <c r="A366" s="6" t="s">
        <v>91</v>
      </c>
      <c r="B366" s="6" t="s">
        <v>198</v>
      </c>
      <c r="C366" s="161" t="s">
        <v>512</v>
      </c>
      <c r="D366" s="162"/>
      <c r="E366" s="162"/>
      <c r="F366" s="6" t="s">
        <v>551</v>
      </c>
      <c r="G366" s="68">
        <v>70.092</v>
      </c>
      <c r="H366" s="17">
        <v>0</v>
      </c>
      <c r="I366" s="17">
        <f>G366*AN366</f>
        <v>0</v>
      </c>
      <c r="J366" s="17">
        <f>G366*AO366</f>
        <v>0</v>
      </c>
      <c r="K366" s="17">
        <f>G366*H366</f>
        <v>0</v>
      </c>
      <c r="Y366" s="28">
        <f>IF(AP366="5",BI366,0)</f>
        <v>0</v>
      </c>
      <c r="AA366" s="28">
        <f>IF(AP366="1",BG366,0)</f>
        <v>0</v>
      </c>
      <c r="AB366" s="28">
        <f>IF(AP366="1",BH366,0)</f>
        <v>0</v>
      </c>
      <c r="AC366" s="28">
        <f>IF(AP366="7",BG366,0)</f>
        <v>0</v>
      </c>
      <c r="AD366" s="28">
        <f>IF(AP366="7",BH366,0)</f>
        <v>0</v>
      </c>
      <c r="AE366" s="28">
        <f>IF(AP366="2",BG366,0)</f>
        <v>0</v>
      </c>
      <c r="AF366" s="28">
        <f>IF(AP366="2",BH366,0)</f>
        <v>0</v>
      </c>
      <c r="AG366" s="28">
        <f>IF(AP366="0",BI366,0)</f>
        <v>0</v>
      </c>
      <c r="AH366" s="24"/>
      <c r="AI366" s="17">
        <f>IF(AM366=0,K366,0)</f>
        <v>0</v>
      </c>
      <c r="AJ366" s="17">
        <f>IF(AM366=15,K366,0)</f>
        <v>0</v>
      </c>
      <c r="AK366" s="17">
        <f>IF(AM366=21,K366,0)</f>
        <v>0</v>
      </c>
      <c r="AM366" s="28">
        <v>21</v>
      </c>
      <c r="AN366" s="28">
        <f>H366*1</f>
        <v>0</v>
      </c>
      <c r="AO366" s="28">
        <f>H366*(1-1)</f>
        <v>0</v>
      </c>
      <c r="AP366" s="25" t="s">
        <v>13</v>
      </c>
      <c r="AU366" s="28">
        <f>AV366+AW366</f>
        <v>0</v>
      </c>
      <c r="AV366" s="28">
        <f>G366*AN366</f>
        <v>0</v>
      </c>
      <c r="AW366" s="28">
        <f>G366*AO366</f>
        <v>0</v>
      </c>
      <c r="AX366" s="29" t="s">
        <v>600</v>
      </c>
      <c r="AY366" s="29" t="s">
        <v>611</v>
      </c>
      <c r="AZ366" s="24" t="s">
        <v>612</v>
      </c>
      <c r="BB366" s="28">
        <f>AV366+AW366</f>
        <v>0</v>
      </c>
      <c r="BC366" s="28">
        <f>H366/(100-BD366)*100</f>
        <v>0</v>
      </c>
      <c r="BD366" s="28">
        <v>0</v>
      </c>
      <c r="BE366" s="28">
        <f>366</f>
        <v>366</v>
      </c>
      <c r="BG366" s="17">
        <f>G366*AN366</f>
        <v>0</v>
      </c>
      <c r="BH366" s="17">
        <f>G366*AO366</f>
        <v>0</v>
      </c>
      <c r="BI366" s="17">
        <f>G366*H366</f>
        <v>0</v>
      </c>
    </row>
    <row r="367" spans="3:7" ht="12.75">
      <c r="C367" s="153" t="s">
        <v>513</v>
      </c>
      <c r="D367" s="154"/>
      <c r="E367" s="154"/>
      <c r="G367" s="67">
        <v>66.754</v>
      </c>
    </row>
    <row r="368" spans="3:7" ht="12.75">
      <c r="C368" s="153" t="s">
        <v>514</v>
      </c>
      <c r="D368" s="154"/>
      <c r="E368" s="154"/>
      <c r="G368" s="67">
        <v>3.338</v>
      </c>
    </row>
    <row r="369" spans="1:61" ht="12.75">
      <c r="A369" s="4" t="s">
        <v>92</v>
      </c>
      <c r="B369" s="4" t="s">
        <v>199</v>
      </c>
      <c r="C369" s="148" t="s">
        <v>515</v>
      </c>
      <c r="D369" s="149"/>
      <c r="E369" s="149"/>
      <c r="F369" s="4" t="s">
        <v>552</v>
      </c>
      <c r="G369" s="66">
        <v>16.2</v>
      </c>
      <c r="H369" s="16">
        <v>0</v>
      </c>
      <c r="I369" s="16">
        <f>G369*AN369</f>
        <v>0</v>
      </c>
      <c r="J369" s="16">
        <f>G369*AO369</f>
        <v>0</v>
      </c>
      <c r="K369" s="16">
        <f>G369*H369</f>
        <v>0</v>
      </c>
      <c r="Y369" s="28">
        <f>IF(AP369="5",BI369,0)</f>
        <v>0</v>
      </c>
      <c r="AA369" s="28">
        <f>IF(AP369="1",BG369,0)</f>
        <v>0</v>
      </c>
      <c r="AB369" s="28">
        <f>IF(AP369="1",BH369,0)</f>
        <v>0</v>
      </c>
      <c r="AC369" s="28">
        <f>IF(AP369="7",BG369,0)</f>
        <v>0</v>
      </c>
      <c r="AD369" s="28">
        <f>IF(AP369="7",BH369,0)</f>
        <v>0</v>
      </c>
      <c r="AE369" s="28">
        <f>IF(AP369="2",BG369,0)</f>
        <v>0</v>
      </c>
      <c r="AF369" s="28">
        <f>IF(AP369="2",BH369,0)</f>
        <v>0</v>
      </c>
      <c r="AG369" s="28">
        <f>IF(AP369="0",BI369,0)</f>
        <v>0</v>
      </c>
      <c r="AH369" s="24"/>
      <c r="AI369" s="16">
        <f>IF(AM369=0,K369,0)</f>
        <v>0</v>
      </c>
      <c r="AJ369" s="16">
        <f>IF(AM369=15,K369,0)</f>
        <v>0</v>
      </c>
      <c r="AK369" s="16">
        <f>IF(AM369=21,K369,0)</f>
        <v>0</v>
      </c>
      <c r="AM369" s="28">
        <v>21</v>
      </c>
      <c r="AN369" s="28">
        <f>H369*0</f>
        <v>0</v>
      </c>
      <c r="AO369" s="28">
        <f>H369*(1-0)</f>
        <v>0</v>
      </c>
      <c r="AP369" s="23" t="s">
        <v>13</v>
      </c>
      <c r="AU369" s="28">
        <f>AV369+AW369</f>
        <v>0</v>
      </c>
      <c r="AV369" s="28">
        <f>G369*AN369</f>
        <v>0</v>
      </c>
      <c r="AW369" s="28">
        <f>G369*AO369</f>
        <v>0</v>
      </c>
      <c r="AX369" s="29" t="s">
        <v>600</v>
      </c>
      <c r="AY369" s="29" t="s">
        <v>611</v>
      </c>
      <c r="AZ369" s="24" t="s">
        <v>612</v>
      </c>
      <c r="BB369" s="28">
        <f>AV369+AW369</f>
        <v>0</v>
      </c>
      <c r="BC369" s="28">
        <f>H369/(100-BD369)*100</f>
        <v>0</v>
      </c>
      <c r="BD369" s="28">
        <v>0</v>
      </c>
      <c r="BE369" s="28">
        <f>369</f>
        <v>369</v>
      </c>
      <c r="BG369" s="16">
        <f>G369*AN369</f>
        <v>0</v>
      </c>
      <c r="BH369" s="16">
        <f>G369*AO369</f>
        <v>0</v>
      </c>
      <c r="BI369" s="16">
        <f>G369*H369</f>
        <v>0</v>
      </c>
    </row>
    <row r="370" spans="3:5" ht="12.75">
      <c r="C370" s="155" t="s">
        <v>516</v>
      </c>
      <c r="D370" s="156"/>
      <c r="E370" s="156"/>
    </row>
    <row r="371" spans="3:7" ht="12.75">
      <c r="C371" s="153" t="s">
        <v>517</v>
      </c>
      <c r="D371" s="154"/>
      <c r="E371" s="154"/>
      <c r="G371" s="67">
        <v>16.2</v>
      </c>
    </row>
    <row r="372" spans="1:61" ht="12.75">
      <c r="A372" s="4" t="s">
        <v>93</v>
      </c>
      <c r="B372" s="4" t="s">
        <v>200</v>
      </c>
      <c r="C372" s="148" t="s">
        <v>518</v>
      </c>
      <c r="D372" s="149"/>
      <c r="E372" s="149"/>
      <c r="F372" s="4" t="s">
        <v>556</v>
      </c>
      <c r="G372" s="66">
        <v>0.353</v>
      </c>
      <c r="H372" s="16">
        <v>0</v>
      </c>
      <c r="I372" s="16">
        <f>G372*AN372</f>
        <v>0</v>
      </c>
      <c r="J372" s="16">
        <f>G372*AO372</f>
        <v>0</v>
      </c>
      <c r="K372" s="16">
        <f>G372*H372</f>
        <v>0</v>
      </c>
      <c r="Y372" s="28">
        <f>IF(AP372="5",BI372,0)</f>
        <v>0</v>
      </c>
      <c r="AA372" s="28">
        <f>IF(AP372="1",BG372,0)</f>
        <v>0</v>
      </c>
      <c r="AB372" s="28">
        <f>IF(AP372="1",BH372,0)</f>
        <v>0</v>
      </c>
      <c r="AC372" s="28">
        <f>IF(AP372="7",BG372,0)</f>
        <v>0</v>
      </c>
      <c r="AD372" s="28">
        <f>IF(AP372="7",BH372,0)</f>
        <v>0</v>
      </c>
      <c r="AE372" s="28">
        <f>IF(AP372="2",BG372,0)</f>
        <v>0</v>
      </c>
      <c r="AF372" s="28">
        <f>IF(AP372="2",BH372,0)</f>
        <v>0</v>
      </c>
      <c r="AG372" s="28">
        <f>IF(AP372="0",BI372,0)</f>
        <v>0</v>
      </c>
      <c r="AH372" s="24"/>
      <c r="AI372" s="16">
        <f>IF(AM372=0,K372,0)</f>
        <v>0</v>
      </c>
      <c r="AJ372" s="16">
        <f>IF(AM372=15,K372,0)</f>
        <v>0</v>
      </c>
      <c r="AK372" s="16">
        <f>IF(AM372=21,K372,0)</f>
        <v>0</v>
      </c>
      <c r="AM372" s="28">
        <v>21</v>
      </c>
      <c r="AN372" s="28">
        <f>H372*0</f>
        <v>0</v>
      </c>
      <c r="AO372" s="28">
        <f>H372*(1-0)</f>
        <v>0</v>
      </c>
      <c r="AP372" s="23" t="s">
        <v>11</v>
      </c>
      <c r="AU372" s="28">
        <f>AV372+AW372</f>
        <v>0</v>
      </c>
      <c r="AV372" s="28">
        <f>G372*AN372</f>
        <v>0</v>
      </c>
      <c r="AW372" s="28">
        <f>G372*AO372</f>
        <v>0</v>
      </c>
      <c r="AX372" s="29" t="s">
        <v>600</v>
      </c>
      <c r="AY372" s="29" t="s">
        <v>611</v>
      </c>
      <c r="AZ372" s="24" t="s">
        <v>612</v>
      </c>
      <c r="BB372" s="28">
        <f>AV372+AW372</f>
        <v>0</v>
      </c>
      <c r="BC372" s="28">
        <f>H372/(100-BD372)*100</f>
        <v>0</v>
      </c>
      <c r="BD372" s="28">
        <v>0</v>
      </c>
      <c r="BE372" s="28">
        <f>372</f>
        <v>372</v>
      </c>
      <c r="BG372" s="16">
        <f>G372*AN372</f>
        <v>0</v>
      </c>
      <c r="BH372" s="16">
        <f>G372*AO372</f>
        <v>0</v>
      </c>
      <c r="BI372" s="16">
        <f>G372*H372</f>
        <v>0</v>
      </c>
    </row>
    <row r="373" spans="1:46" ht="12.75">
      <c r="A373" s="5"/>
      <c r="B373" s="13" t="s">
        <v>201</v>
      </c>
      <c r="C373" s="157" t="s">
        <v>519</v>
      </c>
      <c r="D373" s="158"/>
      <c r="E373" s="158"/>
      <c r="F373" s="5" t="s">
        <v>6</v>
      </c>
      <c r="G373" s="5" t="s">
        <v>6</v>
      </c>
      <c r="H373" s="5" t="s">
        <v>6</v>
      </c>
      <c r="I373" s="31">
        <f>SUM(I374:I379)</f>
        <v>0</v>
      </c>
      <c r="J373" s="31">
        <f>SUM(J374:J379)</f>
        <v>0</v>
      </c>
      <c r="K373" s="31">
        <f>SUM(K374:K379)</f>
        <v>0</v>
      </c>
      <c r="AH373" s="24"/>
      <c r="AR373" s="31">
        <f>SUM(AI374:AI379)</f>
        <v>0</v>
      </c>
      <c r="AS373" s="31">
        <f>SUM(AJ374:AJ379)</f>
        <v>0</v>
      </c>
      <c r="AT373" s="31">
        <f>SUM(AK374:AK379)</f>
        <v>0</v>
      </c>
    </row>
    <row r="374" spans="1:61" ht="12.75">
      <c r="A374" s="4" t="s">
        <v>94</v>
      </c>
      <c r="B374" s="4" t="s">
        <v>202</v>
      </c>
      <c r="C374" s="148" t="s">
        <v>520</v>
      </c>
      <c r="D374" s="149"/>
      <c r="E374" s="149"/>
      <c r="F374" s="4" t="s">
        <v>551</v>
      </c>
      <c r="G374" s="66">
        <v>4.64</v>
      </c>
      <c r="H374" s="16">
        <v>0</v>
      </c>
      <c r="I374" s="16">
        <f>G374*AN374</f>
        <v>0</v>
      </c>
      <c r="J374" s="16">
        <f>G374*AO374</f>
        <v>0</v>
      </c>
      <c r="K374" s="16">
        <f>G374*H374</f>
        <v>0</v>
      </c>
      <c r="Y374" s="28">
        <f>IF(AP374="5",BI374,0)</f>
        <v>0</v>
      </c>
      <c r="AA374" s="28">
        <f>IF(AP374="1",BG374,0)</f>
        <v>0</v>
      </c>
      <c r="AB374" s="28">
        <f>IF(AP374="1",BH374,0)</f>
        <v>0</v>
      </c>
      <c r="AC374" s="28">
        <f>IF(AP374="7",BG374,0)</f>
        <v>0</v>
      </c>
      <c r="AD374" s="28">
        <f>IF(AP374="7",BH374,0)</f>
        <v>0</v>
      </c>
      <c r="AE374" s="28">
        <f>IF(AP374="2",BG374,0)</f>
        <v>0</v>
      </c>
      <c r="AF374" s="28">
        <f>IF(AP374="2",BH374,0)</f>
        <v>0</v>
      </c>
      <c r="AG374" s="28">
        <f>IF(AP374="0",BI374,0)</f>
        <v>0</v>
      </c>
      <c r="AH374" s="24"/>
      <c r="AI374" s="16">
        <f>IF(AM374=0,K374,0)</f>
        <v>0</v>
      </c>
      <c r="AJ374" s="16">
        <f>IF(AM374=15,K374,0)</f>
        <v>0</v>
      </c>
      <c r="AK374" s="16">
        <f>IF(AM374=21,K374,0)</f>
        <v>0</v>
      </c>
      <c r="AM374" s="28">
        <v>21</v>
      </c>
      <c r="AN374" s="28">
        <f>H374*0.0992982456140351</f>
        <v>0</v>
      </c>
      <c r="AO374" s="28">
        <f>H374*(1-0.0992982456140351)</f>
        <v>0</v>
      </c>
      <c r="AP374" s="23" t="s">
        <v>13</v>
      </c>
      <c r="AU374" s="28">
        <f>AV374+AW374</f>
        <v>0</v>
      </c>
      <c r="AV374" s="28">
        <f>G374*AN374</f>
        <v>0</v>
      </c>
      <c r="AW374" s="28">
        <f>G374*AO374</f>
        <v>0</v>
      </c>
      <c r="AX374" s="29" t="s">
        <v>601</v>
      </c>
      <c r="AY374" s="29" t="s">
        <v>611</v>
      </c>
      <c r="AZ374" s="24" t="s">
        <v>612</v>
      </c>
      <c r="BB374" s="28">
        <f>AV374+AW374</f>
        <v>0</v>
      </c>
      <c r="BC374" s="28">
        <f>H374/(100-BD374)*100</f>
        <v>0</v>
      </c>
      <c r="BD374" s="28">
        <v>0</v>
      </c>
      <c r="BE374" s="28">
        <f>374</f>
        <v>374</v>
      </c>
      <c r="BG374" s="16">
        <f>G374*AN374</f>
        <v>0</v>
      </c>
      <c r="BH374" s="16">
        <f>G374*AO374</f>
        <v>0</v>
      </c>
      <c r="BI374" s="16">
        <f>G374*H374</f>
        <v>0</v>
      </c>
    </row>
    <row r="375" spans="3:7" ht="12.75">
      <c r="C375" s="153" t="s">
        <v>521</v>
      </c>
      <c r="D375" s="154"/>
      <c r="E375" s="154"/>
      <c r="G375" s="67">
        <v>4.64</v>
      </c>
    </row>
    <row r="376" spans="1:61" ht="12.75">
      <c r="A376" s="4" t="s">
        <v>95</v>
      </c>
      <c r="B376" s="4" t="s">
        <v>203</v>
      </c>
      <c r="C376" s="148" t="s">
        <v>522</v>
      </c>
      <c r="D376" s="149"/>
      <c r="E376" s="149"/>
      <c r="F376" s="4" t="s">
        <v>551</v>
      </c>
      <c r="G376" s="66">
        <v>6.496</v>
      </c>
      <c r="H376" s="16">
        <v>0</v>
      </c>
      <c r="I376" s="16">
        <f>G376*AN376</f>
        <v>0</v>
      </c>
      <c r="J376" s="16">
        <f>G376*AO376</f>
        <v>0</v>
      </c>
      <c r="K376" s="16">
        <f>G376*H376</f>
        <v>0</v>
      </c>
      <c r="Y376" s="28">
        <f>IF(AP376="5",BI376,0)</f>
        <v>0</v>
      </c>
      <c r="AA376" s="28">
        <f>IF(AP376="1",BG376,0)</f>
        <v>0</v>
      </c>
      <c r="AB376" s="28">
        <f>IF(AP376="1",BH376,0)</f>
        <v>0</v>
      </c>
      <c r="AC376" s="28">
        <f>IF(AP376="7",BG376,0)</f>
        <v>0</v>
      </c>
      <c r="AD376" s="28">
        <f>IF(AP376="7",BH376,0)</f>
        <v>0</v>
      </c>
      <c r="AE376" s="28">
        <f>IF(AP376="2",BG376,0)</f>
        <v>0</v>
      </c>
      <c r="AF376" s="28">
        <f>IF(AP376="2",BH376,0)</f>
        <v>0</v>
      </c>
      <c r="AG376" s="28">
        <f>IF(AP376="0",BI376,0)</f>
        <v>0</v>
      </c>
      <c r="AH376" s="24"/>
      <c r="AI376" s="16">
        <f>IF(AM376=0,K376,0)</f>
        <v>0</v>
      </c>
      <c r="AJ376" s="16">
        <f>IF(AM376=15,K376,0)</f>
        <v>0</v>
      </c>
      <c r="AK376" s="16">
        <f>IF(AM376=21,K376,0)</f>
        <v>0</v>
      </c>
      <c r="AM376" s="28">
        <v>21</v>
      </c>
      <c r="AN376" s="28">
        <f>H376*0.174221703292885</f>
        <v>0</v>
      </c>
      <c r="AO376" s="28">
        <f>H376*(1-0.174221703292885)</f>
        <v>0</v>
      </c>
      <c r="AP376" s="23" t="s">
        <v>13</v>
      </c>
      <c r="AU376" s="28">
        <f>AV376+AW376</f>
        <v>0</v>
      </c>
      <c r="AV376" s="28">
        <f>G376*AN376</f>
        <v>0</v>
      </c>
      <c r="AW376" s="28">
        <f>G376*AO376</f>
        <v>0</v>
      </c>
      <c r="AX376" s="29" t="s">
        <v>601</v>
      </c>
      <c r="AY376" s="29" t="s">
        <v>611</v>
      </c>
      <c r="AZ376" s="24" t="s">
        <v>612</v>
      </c>
      <c r="BB376" s="28">
        <f>AV376+AW376</f>
        <v>0</v>
      </c>
      <c r="BC376" s="28">
        <f>H376/(100-BD376)*100</f>
        <v>0</v>
      </c>
      <c r="BD376" s="28">
        <v>0</v>
      </c>
      <c r="BE376" s="28">
        <f>376</f>
        <v>376</v>
      </c>
      <c r="BG376" s="16">
        <f>G376*AN376</f>
        <v>0</v>
      </c>
      <c r="BH376" s="16">
        <f>G376*AO376</f>
        <v>0</v>
      </c>
      <c r="BI376" s="16">
        <f>G376*H376</f>
        <v>0</v>
      </c>
    </row>
    <row r="377" spans="3:7" ht="12.75">
      <c r="C377" s="153" t="s">
        <v>523</v>
      </c>
      <c r="D377" s="154"/>
      <c r="E377" s="154"/>
      <c r="G377" s="67">
        <v>1.856</v>
      </c>
    </row>
    <row r="378" spans="3:7" ht="12.75">
      <c r="C378" s="153" t="s">
        <v>521</v>
      </c>
      <c r="D378" s="154"/>
      <c r="E378" s="154"/>
      <c r="G378" s="67">
        <v>4.64</v>
      </c>
    </row>
    <row r="379" spans="1:61" ht="12.75">
      <c r="A379" s="4" t="s">
        <v>96</v>
      </c>
      <c r="B379" s="4" t="s">
        <v>204</v>
      </c>
      <c r="C379" s="148" t="s">
        <v>524</v>
      </c>
      <c r="D379" s="149"/>
      <c r="E379" s="149"/>
      <c r="F379" s="4" t="s">
        <v>551</v>
      </c>
      <c r="G379" s="66">
        <v>0.181</v>
      </c>
      <c r="H379" s="16">
        <v>0</v>
      </c>
      <c r="I379" s="16">
        <f>G379*AN379</f>
        <v>0</v>
      </c>
      <c r="J379" s="16">
        <f>G379*AO379</f>
        <v>0</v>
      </c>
      <c r="K379" s="16">
        <f>G379*H379</f>
        <v>0</v>
      </c>
      <c r="Y379" s="28">
        <f>IF(AP379="5",BI379,0)</f>
        <v>0</v>
      </c>
      <c r="AA379" s="28">
        <f>IF(AP379="1",BG379,0)</f>
        <v>0</v>
      </c>
      <c r="AB379" s="28">
        <f>IF(AP379="1",BH379,0)</f>
        <v>0</v>
      </c>
      <c r="AC379" s="28">
        <f>IF(AP379="7",BG379,0)</f>
        <v>0</v>
      </c>
      <c r="AD379" s="28">
        <f>IF(AP379="7",BH379,0)</f>
        <v>0</v>
      </c>
      <c r="AE379" s="28">
        <f>IF(AP379="2",BG379,0)</f>
        <v>0</v>
      </c>
      <c r="AF379" s="28">
        <f>IF(AP379="2",BH379,0)</f>
        <v>0</v>
      </c>
      <c r="AG379" s="28">
        <f>IF(AP379="0",BI379,0)</f>
        <v>0</v>
      </c>
      <c r="AH379" s="24"/>
      <c r="AI379" s="16">
        <f>IF(AM379=0,K379,0)</f>
        <v>0</v>
      </c>
      <c r="AJ379" s="16">
        <f>IF(AM379=15,K379,0)</f>
        <v>0</v>
      </c>
      <c r="AK379" s="16">
        <f>IF(AM379=21,K379,0)</f>
        <v>0</v>
      </c>
      <c r="AM379" s="28">
        <v>21</v>
      </c>
      <c r="AN379" s="28">
        <f>H379*0.179810988354733</f>
        <v>0</v>
      </c>
      <c r="AO379" s="28">
        <f>H379*(1-0.179810988354733)</f>
        <v>0</v>
      </c>
      <c r="AP379" s="23" t="s">
        <v>13</v>
      </c>
      <c r="AU379" s="28">
        <f>AV379+AW379</f>
        <v>0</v>
      </c>
      <c r="AV379" s="28">
        <f>G379*AN379</f>
        <v>0</v>
      </c>
      <c r="AW379" s="28">
        <f>G379*AO379</f>
        <v>0</v>
      </c>
      <c r="AX379" s="29" t="s">
        <v>601</v>
      </c>
      <c r="AY379" s="29" t="s">
        <v>611</v>
      </c>
      <c r="AZ379" s="24" t="s">
        <v>612</v>
      </c>
      <c r="BB379" s="28">
        <f>AV379+AW379</f>
        <v>0</v>
      </c>
      <c r="BC379" s="28">
        <f>H379/(100-BD379)*100</f>
        <v>0</v>
      </c>
      <c r="BD379" s="28">
        <v>0</v>
      </c>
      <c r="BE379" s="28">
        <f>379</f>
        <v>379</v>
      </c>
      <c r="BG379" s="16">
        <f>G379*AN379</f>
        <v>0</v>
      </c>
      <c r="BH379" s="16">
        <f>G379*AO379</f>
        <v>0</v>
      </c>
      <c r="BI379" s="16">
        <f>G379*H379</f>
        <v>0</v>
      </c>
    </row>
    <row r="380" spans="3:7" ht="12.75">
      <c r="C380" s="153" t="s">
        <v>525</v>
      </c>
      <c r="D380" s="154"/>
      <c r="E380" s="154"/>
      <c r="G380" s="67">
        <v>0.181</v>
      </c>
    </row>
    <row r="381" spans="1:46" ht="12.75">
      <c r="A381" s="5"/>
      <c r="B381" s="13" t="s">
        <v>205</v>
      </c>
      <c r="C381" s="157" t="s">
        <v>526</v>
      </c>
      <c r="D381" s="158"/>
      <c r="E381" s="158"/>
      <c r="F381" s="5" t="s">
        <v>6</v>
      </c>
      <c r="G381" s="5" t="s">
        <v>6</v>
      </c>
      <c r="H381" s="5" t="s">
        <v>6</v>
      </c>
      <c r="I381" s="31">
        <f>SUM(I382:I394)</f>
        <v>0</v>
      </c>
      <c r="J381" s="31">
        <f>SUM(J382:J394)</f>
        <v>0</v>
      </c>
      <c r="K381" s="31">
        <f>SUM(K382:K394)</f>
        <v>0</v>
      </c>
      <c r="AH381" s="24"/>
      <c r="AR381" s="31">
        <f>SUM(AI382:AI394)</f>
        <v>0</v>
      </c>
      <c r="AS381" s="31">
        <f>SUM(AJ382:AJ394)</f>
        <v>0</v>
      </c>
      <c r="AT381" s="31">
        <f>SUM(AK382:AK394)</f>
        <v>0</v>
      </c>
    </row>
    <row r="382" spans="1:61" ht="12.75">
      <c r="A382" s="76" t="s">
        <v>97</v>
      </c>
      <c r="B382" s="76" t="s">
        <v>206</v>
      </c>
      <c r="C382" s="160" t="s">
        <v>527</v>
      </c>
      <c r="D382" s="149"/>
      <c r="E382" s="149"/>
      <c r="F382" s="76" t="s">
        <v>551</v>
      </c>
      <c r="G382" s="77">
        <v>107.752</v>
      </c>
      <c r="H382" s="78">
        <v>0</v>
      </c>
      <c r="I382" s="78">
        <f>G382*AN382</f>
        <v>0</v>
      </c>
      <c r="J382" s="78">
        <f>G382*AO382</f>
        <v>0</v>
      </c>
      <c r="K382" s="78">
        <f>G382*H382</f>
        <v>0</v>
      </c>
      <c r="Y382" s="28">
        <f>IF(AP382="5",BI382,0)</f>
        <v>0</v>
      </c>
      <c r="AA382" s="28">
        <f>IF(AP382="1",BG382,0)</f>
        <v>0</v>
      </c>
      <c r="AB382" s="28">
        <f>IF(AP382="1",BH382,0)</f>
        <v>0</v>
      </c>
      <c r="AC382" s="28">
        <f>IF(AP382="7",BG382,0)</f>
        <v>0</v>
      </c>
      <c r="AD382" s="28">
        <f>IF(AP382="7",BH382,0)</f>
        <v>0</v>
      </c>
      <c r="AE382" s="28">
        <f>IF(AP382="2",BG382,0)</f>
        <v>0</v>
      </c>
      <c r="AF382" s="28">
        <f>IF(AP382="2",BH382,0)</f>
        <v>0</v>
      </c>
      <c r="AG382" s="28">
        <f>IF(AP382="0",BI382,0)</f>
        <v>0</v>
      </c>
      <c r="AH382" s="24"/>
      <c r="AI382" s="16">
        <f>IF(AM382=0,K382,0)</f>
        <v>0</v>
      </c>
      <c r="AJ382" s="16">
        <f>IF(AM382=15,K382,0)</f>
        <v>0</v>
      </c>
      <c r="AK382" s="16">
        <f>IF(AM382=21,K382,0)</f>
        <v>0</v>
      </c>
      <c r="AM382" s="28">
        <v>21</v>
      </c>
      <c r="AN382" s="28">
        <f>H382*0.249647058823529</f>
        <v>0</v>
      </c>
      <c r="AO382" s="28">
        <f>H382*(1-0.249647058823529)</f>
        <v>0</v>
      </c>
      <c r="AP382" s="23" t="s">
        <v>13</v>
      </c>
      <c r="AU382" s="28">
        <f>AV382+AW382</f>
        <v>0</v>
      </c>
      <c r="AV382" s="28">
        <f>G382*AN382</f>
        <v>0</v>
      </c>
      <c r="AW382" s="28">
        <f>G382*AO382</f>
        <v>0</v>
      </c>
      <c r="AX382" s="29" t="s">
        <v>602</v>
      </c>
      <c r="AY382" s="29" t="s">
        <v>611</v>
      </c>
      <c r="AZ382" s="24" t="s">
        <v>612</v>
      </c>
      <c r="BB382" s="28">
        <f>AV382+AW382</f>
        <v>0</v>
      </c>
      <c r="BC382" s="28">
        <f>H382/(100-BD382)*100</f>
        <v>0</v>
      </c>
      <c r="BD382" s="28">
        <v>0</v>
      </c>
      <c r="BE382" s="28">
        <f>382</f>
        <v>382</v>
      </c>
      <c r="BG382" s="16">
        <f>G382*AN382</f>
        <v>0</v>
      </c>
      <c r="BH382" s="16">
        <f>G382*AO382</f>
        <v>0</v>
      </c>
      <c r="BI382" s="16">
        <f>G382*H382</f>
        <v>0</v>
      </c>
    </row>
    <row r="383" spans="1:11" ht="12.75">
      <c r="A383" s="79"/>
      <c r="B383" s="79"/>
      <c r="C383" s="159" t="s">
        <v>528</v>
      </c>
      <c r="D383" s="154"/>
      <c r="E383" s="154"/>
      <c r="F383" s="79"/>
      <c r="G383" s="80">
        <v>47.197</v>
      </c>
      <c r="H383" s="79"/>
      <c r="I383" s="79"/>
      <c r="J383" s="79"/>
      <c r="K383" s="79"/>
    </row>
    <row r="384" spans="1:11" ht="12.75">
      <c r="A384" s="79"/>
      <c r="B384" s="79"/>
      <c r="C384" s="159" t="s">
        <v>529</v>
      </c>
      <c r="D384" s="154"/>
      <c r="E384" s="154"/>
      <c r="F384" s="79"/>
      <c r="G384" s="80">
        <v>0.529</v>
      </c>
      <c r="H384" s="79"/>
      <c r="I384" s="79"/>
      <c r="J384" s="79"/>
      <c r="K384" s="79"/>
    </row>
    <row r="385" spans="1:11" ht="12.75">
      <c r="A385" s="79"/>
      <c r="B385" s="79"/>
      <c r="C385" s="159" t="s">
        <v>530</v>
      </c>
      <c r="D385" s="154"/>
      <c r="E385" s="154"/>
      <c r="F385" s="79"/>
      <c r="G385" s="80">
        <v>7.63</v>
      </c>
      <c r="H385" s="79"/>
      <c r="I385" s="79"/>
      <c r="J385" s="79"/>
      <c r="K385" s="79"/>
    </row>
    <row r="386" spans="1:11" ht="12.75">
      <c r="A386" s="79"/>
      <c r="B386" s="79"/>
      <c r="C386" s="159" t="s">
        <v>531</v>
      </c>
      <c r="D386" s="154"/>
      <c r="E386" s="154"/>
      <c r="F386" s="79"/>
      <c r="G386" s="80">
        <v>6.026</v>
      </c>
      <c r="H386" s="79"/>
      <c r="I386" s="79"/>
      <c r="J386" s="79"/>
      <c r="K386" s="79"/>
    </row>
    <row r="387" spans="1:11" ht="12.75">
      <c r="A387" s="79"/>
      <c r="B387" s="79"/>
      <c r="C387" s="159" t="s">
        <v>532</v>
      </c>
      <c r="D387" s="154"/>
      <c r="E387" s="154"/>
      <c r="F387" s="79"/>
      <c r="G387" s="80">
        <v>4.37</v>
      </c>
      <c r="H387" s="79"/>
      <c r="I387" s="79"/>
      <c r="J387" s="79"/>
      <c r="K387" s="79"/>
    </row>
    <row r="388" spans="1:11" ht="12.75">
      <c r="A388" s="79"/>
      <c r="B388" s="79"/>
      <c r="C388" s="159" t="s">
        <v>533</v>
      </c>
      <c r="D388" s="154"/>
      <c r="E388" s="154"/>
      <c r="F388" s="79"/>
      <c r="G388" s="80">
        <v>42</v>
      </c>
      <c r="H388" s="79"/>
      <c r="I388" s="79"/>
      <c r="J388" s="79"/>
      <c r="K388" s="79"/>
    </row>
    <row r="389" spans="1:61" ht="12.75">
      <c r="A389" s="4" t="s">
        <v>98</v>
      </c>
      <c r="B389" s="4" t="s">
        <v>207</v>
      </c>
      <c r="C389" s="148" t="s">
        <v>534</v>
      </c>
      <c r="D389" s="149"/>
      <c r="E389" s="149"/>
      <c r="F389" s="4" t="s">
        <v>551</v>
      </c>
      <c r="G389" s="66">
        <v>12</v>
      </c>
      <c r="H389" s="16">
        <v>0</v>
      </c>
      <c r="I389" s="16">
        <f>G389*AN389</f>
        <v>0</v>
      </c>
      <c r="J389" s="16">
        <f>G389*AO389</f>
        <v>0</v>
      </c>
      <c r="K389" s="16">
        <f>G389*H389</f>
        <v>0</v>
      </c>
      <c r="Y389" s="28">
        <f>IF(AP389="5",BI389,0)</f>
        <v>0</v>
      </c>
      <c r="AA389" s="28">
        <f>IF(AP389="1",BG389,0)</f>
        <v>0</v>
      </c>
      <c r="AB389" s="28">
        <f>IF(AP389="1",BH389,0)</f>
        <v>0</v>
      </c>
      <c r="AC389" s="28">
        <f>IF(AP389="7",BG389,0)</f>
        <v>0</v>
      </c>
      <c r="AD389" s="28">
        <f>IF(AP389="7",BH389,0)</f>
        <v>0</v>
      </c>
      <c r="AE389" s="28">
        <f>IF(AP389="2",BG389,0)</f>
        <v>0</v>
      </c>
      <c r="AF389" s="28">
        <f>IF(AP389="2",BH389,0)</f>
        <v>0</v>
      </c>
      <c r="AG389" s="28">
        <f>IF(AP389="0",BI389,0)</f>
        <v>0</v>
      </c>
      <c r="AH389" s="24"/>
      <c r="AI389" s="16">
        <f>IF(AM389=0,K389,0)</f>
        <v>0</v>
      </c>
      <c r="AJ389" s="16">
        <f>IF(AM389=15,K389,0)</f>
        <v>0</v>
      </c>
      <c r="AK389" s="16">
        <f>IF(AM389=21,K389,0)</f>
        <v>0</v>
      </c>
      <c r="AM389" s="28">
        <v>21</v>
      </c>
      <c r="AN389" s="28">
        <f>H389*0.627027027027027</f>
        <v>0</v>
      </c>
      <c r="AO389" s="28">
        <f>H389*(1-0.627027027027027)</f>
        <v>0</v>
      </c>
      <c r="AP389" s="23" t="s">
        <v>13</v>
      </c>
      <c r="AU389" s="28">
        <f>AV389+AW389</f>
        <v>0</v>
      </c>
      <c r="AV389" s="28">
        <f>G389*AN389</f>
        <v>0</v>
      </c>
      <c r="AW389" s="28">
        <f>G389*AO389</f>
        <v>0</v>
      </c>
      <c r="AX389" s="29" t="s">
        <v>602</v>
      </c>
      <c r="AY389" s="29" t="s">
        <v>611</v>
      </c>
      <c r="AZ389" s="24" t="s">
        <v>612</v>
      </c>
      <c r="BB389" s="28">
        <f>AV389+AW389</f>
        <v>0</v>
      </c>
      <c r="BC389" s="28">
        <f>H389/(100-BD389)*100</f>
        <v>0</v>
      </c>
      <c r="BD389" s="28">
        <v>0</v>
      </c>
      <c r="BE389" s="28">
        <f>389</f>
        <v>389</v>
      </c>
      <c r="BG389" s="16">
        <f>G389*AN389</f>
        <v>0</v>
      </c>
      <c r="BH389" s="16">
        <f>G389*AO389</f>
        <v>0</v>
      </c>
      <c r="BI389" s="16">
        <f>G389*H389</f>
        <v>0</v>
      </c>
    </row>
    <row r="390" spans="3:5" ht="12.75">
      <c r="C390" s="155" t="s">
        <v>535</v>
      </c>
      <c r="D390" s="156"/>
      <c r="E390" s="156"/>
    </row>
    <row r="391" spans="3:7" ht="12.75">
      <c r="C391" s="153" t="s">
        <v>536</v>
      </c>
      <c r="D391" s="154"/>
      <c r="E391" s="154"/>
      <c r="G391" s="67">
        <v>4</v>
      </c>
    </row>
    <row r="392" spans="3:7" ht="12.75">
      <c r="C392" s="153" t="s">
        <v>537</v>
      </c>
      <c r="D392" s="154"/>
      <c r="E392" s="154"/>
      <c r="G392" s="67">
        <v>6</v>
      </c>
    </row>
    <row r="393" spans="3:7" ht="12.75">
      <c r="C393" s="153" t="s">
        <v>538</v>
      </c>
      <c r="D393" s="154"/>
      <c r="E393" s="154"/>
      <c r="G393" s="67">
        <v>2</v>
      </c>
    </row>
    <row r="394" spans="1:61" ht="12.75">
      <c r="A394" s="4" t="s">
        <v>99</v>
      </c>
      <c r="B394" s="4" t="s">
        <v>208</v>
      </c>
      <c r="C394" s="148" t="s">
        <v>539</v>
      </c>
      <c r="D394" s="149"/>
      <c r="E394" s="149"/>
      <c r="F394" s="4" t="s">
        <v>551</v>
      </c>
      <c r="G394" s="66">
        <v>20</v>
      </c>
      <c r="H394" s="16">
        <v>0</v>
      </c>
      <c r="I394" s="16">
        <f>G394*AN394</f>
        <v>0</v>
      </c>
      <c r="J394" s="16">
        <f>G394*AO394</f>
        <v>0</v>
      </c>
      <c r="K394" s="16">
        <f>G394*H394</f>
        <v>0</v>
      </c>
      <c r="Y394" s="28">
        <f>IF(AP394="5",BI394,0)</f>
        <v>0</v>
      </c>
      <c r="AA394" s="28">
        <f>IF(AP394="1",BG394,0)</f>
        <v>0</v>
      </c>
      <c r="AB394" s="28">
        <f>IF(AP394="1",BH394,0)</f>
        <v>0</v>
      </c>
      <c r="AC394" s="28">
        <f>IF(AP394="7",BG394,0)</f>
        <v>0</v>
      </c>
      <c r="AD394" s="28">
        <f>IF(AP394="7",BH394,0)</f>
        <v>0</v>
      </c>
      <c r="AE394" s="28">
        <f>IF(AP394="2",BG394,0)</f>
        <v>0</v>
      </c>
      <c r="AF394" s="28">
        <f>IF(AP394="2",BH394,0)</f>
        <v>0</v>
      </c>
      <c r="AG394" s="28">
        <f>IF(AP394="0",BI394,0)</f>
        <v>0</v>
      </c>
      <c r="AH394" s="24"/>
      <c r="AI394" s="16">
        <f>IF(AM394=0,K394,0)</f>
        <v>0</v>
      </c>
      <c r="AJ394" s="16">
        <f>IF(AM394=15,K394,0)</f>
        <v>0</v>
      </c>
      <c r="AK394" s="16">
        <f>IF(AM394=21,K394,0)</f>
        <v>0</v>
      </c>
      <c r="AM394" s="28">
        <v>21</v>
      </c>
      <c r="AN394" s="28">
        <f>H394*0.296274393849793</f>
        <v>0</v>
      </c>
      <c r="AO394" s="28">
        <f>H394*(1-0.296274393849793)</f>
        <v>0</v>
      </c>
      <c r="AP394" s="23" t="s">
        <v>13</v>
      </c>
      <c r="AU394" s="28">
        <f>AV394+AW394</f>
        <v>0</v>
      </c>
      <c r="AV394" s="28">
        <f>G394*AN394</f>
        <v>0</v>
      </c>
      <c r="AW394" s="28">
        <f>G394*AO394</f>
        <v>0</v>
      </c>
      <c r="AX394" s="29" t="s">
        <v>602</v>
      </c>
      <c r="AY394" s="29" t="s">
        <v>611</v>
      </c>
      <c r="AZ394" s="24" t="s">
        <v>612</v>
      </c>
      <c r="BB394" s="28">
        <f>AV394+AW394</f>
        <v>0</v>
      </c>
      <c r="BC394" s="28">
        <f>H394/(100-BD394)*100</f>
        <v>0</v>
      </c>
      <c r="BD394" s="28">
        <v>0</v>
      </c>
      <c r="BE394" s="28">
        <f>394</f>
        <v>394</v>
      </c>
      <c r="BG394" s="16">
        <f>G394*AN394</f>
        <v>0</v>
      </c>
      <c r="BH394" s="16">
        <f>G394*AO394</f>
        <v>0</v>
      </c>
      <c r="BI394" s="16">
        <f>G394*H394</f>
        <v>0</v>
      </c>
    </row>
    <row r="395" spans="3:5" ht="12.75">
      <c r="C395" s="155" t="s">
        <v>540</v>
      </c>
      <c r="D395" s="156"/>
      <c r="E395" s="156"/>
    </row>
    <row r="396" spans="3:7" ht="12.75">
      <c r="C396" s="153" t="s">
        <v>541</v>
      </c>
      <c r="D396" s="154"/>
      <c r="E396" s="154"/>
      <c r="G396" s="67">
        <v>0</v>
      </c>
    </row>
    <row r="397" spans="3:7" ht="12.75">
      <c r="C397" s="153" t="s">
        <v>542</v>
      </c>
      <c r="D397" s="154"/>
      <c r="E397" s="154"/>
      <c r="G397" s="67">
        <v>20</v>
      </c>
    </row>
    <row r="398" spans="1:46" ht="12.75">
      <c r="A398" s="5"/>
      <c r="B398" s="13" t="s">
        <v>209</v>
      </c>
      <c r="C398" s="157" t="s">
        <v>543</v>
      </c>
      <c r="D398" s="158"/>
      <c r="E398" s="158"/>
      <c r="F398" s="5" t="s">
        <v>6</v>
      </c>
      <c r="G398" s="5" t="s">
        <v>6</v>
      </c>
      <c r="H398" s="5" t="s">
        <v>6</v>
      </c>
      <c r="I398" s="31">
        <f>SUM(I399:I399)</f>
        <v>0</v>
      </c>
      <c r="J398" s="31">
        <f>SUM(J399:J399)</f>
        <v>0</v>
      </c>
      <c r="K398" s="31">
        <f>SUM(K399:K399)</f>
        <v>0</v>
      </c>
      <c r="AH398" s="24"/>
      <c r="AR398" s="31">
        <f>SUM(AI399:AI399)</f>
        <v>0</v>
      </c>
      <c r="AS398" s="31">
        <f>SUM(AJ399:AJ399)</f>
        <v>0</v>
      </c>
      <c r="AT398" s="31">
        <f>SUM(AK399:AK399)</f>
        <v>0</v>
      </c>
    </row>
    <row r="399" spans="1:61" ht="12.75">
      <c r="A399" s="4" t="s">
        <v>100</v>
      </c>
      <c r="B399" s="4" t="s">
        <v>210</v>
      </c>
      <c r="C399" s="148" t="s">
        <v>544</v>
      </c>
      <c r="D399" s="149"/>
      <c r="E399" s="149"/>
      <c r="F399" s="4" t="s">
        <v>558</v>
      </c>
      <c r="G399" s="66">
        <v>1</v>
      </c>
      <c r="H399" s="16">
        <v>0</v>
      </c>
      <c r="I399" s="16">
        <f>G399*AN399</f>
        <v>0</v>
      </c>
      <c r="J399" s="16">
        <f>G399*AO399</f>
        <v>0</v>
      </c>
      <c r="K399" s="16">
        <f>G399*H399</f>
        <v>0</v>
      </c>
      <c r="Y399" s="28">
        <f>IF(AP399="5",BI399,0)</f>
        <v>0</v>
      </c>
      <c r="AA399" s="28">
        <f>IF(AP399="1",BG399,0)</f>
        <v>0</v>
      </c>
      <c r="AB399" s="28">
        <f>IF(AP399="1",BH399,0)</f>
        <v>0</v>
      </c>
      <c r="AC399" s="28">
        <f>IF(AP399="7",BG399,0)</f>
        <v>0</v>
      </c>
      <c r="AD399" s="28">
        <f>IF(AP399="7",BH399,0)</f>
        <v>0</v>
      </c>
      <c r="AE399" s="28">
        <f>IF(AP399="2",BG399,0)</f>
        <v>0</v>
      </c>
      <c r="AF399" s="28">
        <f>IF(AP399="2",BH399,0)</f>
        <v>0</v>
      </c>
      <c r="AG399" s="28">
        <f>IF(AP399="0",BI399,0)</f>
        <v>0</v>
      </c>
      <c r="AH399" s="24" t="s">
        <v>581</v>
      </c>
      <c r="AI399" s="16">
        <f>IF(AM399=0,K399,0)</f>
        <v>0</v>
      </c>
      <c r="AJ399" s="16">
        <f>IF(AM399=15,K399,0)</f>
        <v>0</v>
      </c>
      <c r="AK399" s="16">
        <f>IF(AM399=21,K399,0)</f>
        <v>0</v>
      </c>
      <c r="AM399" s="28">
        <v>21</v>
      </c>
      <c r="AN399" s="28">
        <f>H399*0</f>
        <v>0</v>
      </c>
      <c r="AO399" s="28">
        <f>H399*(1-0)</f>
        <v>0</v>
      </c>
      <c r="AP399" s="23" t="s">
        <v>8</v>
      </c>
      <c r="AU399" s="28">
        <f>AV399+AW399</f>
        <v>0</v>
      </c>
      <c r="AV399" s="28">
        <f>G399*AN399</f>
        <v>0</v>
      </c>
      <c r="AW399" s="28">
        <f>G399*AO399</f>
        <v>0</v>
      </c>
      <c r="AX399" s="29" t="s">
        <v>603</v>
      </c>
      <c r="AY399" s="29" t="s">
        <v>606</v>
      </c>
      <c r="AZ399" s="24" t="s">
        <v>613</v>
      </c>
      <c r="BB399" s="28">
        <f>AV399+AW399</f>
        <v>0</v>
      </c>
      <c r="BC399" s="28">
        <f>H399/(100-BD399)*100</f>
        <v>0</v>
      </c>
      <c r="BD399" s="28">
        <v>0</v>
      </c>
      <c r="BE399" s="28">
        <f>399</f>
        <v>399</v>
      </c>
      <c r="BG399" s="16">
        <f>G399*AN399</f>
        <v>0</v>
      </c>
      <c r="BH399" s="16">
        <f>G399*AO399</f>
        <v>0</v>
      </c>
      <c r="BI399" s="16">
        <f>G399*H399</f>
        <v>0</v>
      </c>
    </row>
    <row r="400" spans="1:11" ht="12.75">
      <c r="A400" s="7"/>
      <c r="B400" s="7"/>
      <c r="C400" s="150" t="s">
        <v>444</v>
      </c>
      <c r="D400" s="151"/>
      <c r="E400" s="151"/>
      <c r="F400" s="7"/>
      <c r="G400" s="7"/>
      <c r="H400" s="7"/>
      <c r="I400" s="7"/>
      <c r="J400" s="7"/>
      <c r="K400" s="7"/>
    </row>
    <row r="401" spans="1:11" ht="12.75">
      <c r="A401" s="8"/>
      <c r="B401" s="8"/>
      <c r="C401" s="8"/>
      <c r="D401" s="8"/>
      <c r="E401" s="8"/>
      <c r="F401" s="8"/>
      <c r="G401" s="8"/>
      <c r="H401" s="8"/>
      <c r="I401" s="152" t="s">
        <v>569</v>
      </c>
      <c r="J401" s="115"/>
      <c r="K401" s="32">
        <f>ROUND(K12+K15+K32+K91+K105+K110+K116+K119+K152+K192+K242+K244+K255+K271+K274+K288+K293+K327+K332+K373+K381+K398,0)</f>
        <v>0</v>
      </c>
    </row>
    <row r="402" ht="11.25" customHeight="1">
      <c r="A402" s="9" t="s">
        <v>101</v>
      </c>
    </row>
    <row r="403" spans="1:11" ht="12.75">
      <c r="A403" s="1"/>
      <c r="B403" s="81"/>
      <c r="C403" s="81"/>
      <c r="D403" s="81"/>
      <c r="E403" s="81"/>
      <c r="F403" s="81"/>
      <c r="G403" s="81"/>
      <c r="H403" s="81"/>
      <c r="I403" s="81"/>
      <c r="J403" s="81"/>
      <c r="K403" s="81"/>
    </row>
  </sheetData>
  <mergeCells count="419">
    <mergeCell ref="A4:B5"/>
    <mergeCell ref="C4:C5"/>
    <mergeCell ref="D4:E5"/>
    <mergeCell ref="F4:G5"/>
    <mergeCell ref="H4:H5"/>
    <mergeCell ref="I4:K5"/>
    <mergeCell ref="A1:K1"/>
    <mergeCell ref="A2:B3"/>
    <mergeCell ref="C2:C3"/>
    <mergeCell ref="D2:E3"/>
    <mergeCell ref="F2:G3"/>
    <mergeCell ref="H2:H3"/>
    <mergeCell ref="I2:K3"/>
    <mergeCell ref="A8:B9"/>
    <mergeCell ref="C8:C9"/>
    <mergeCell ref="D8:E9"/>
    <mergeCell ref="F8:G9"/>
    <mergeCell ref="H8:H9"/>
    <mergeCell ref="I8:K9"/>
    <mergeCell ref="A6:B7"/>
    <mergeCell ref="C6:C7"/>
    <mergeCell ref="D6:E7"/>
    <mergeCell ref="F6:G7"/>
    <mergeCell ref="H6:H7"/>
    <mergeCell ref="I6:K7"/>
    <mergeCell ref="C15:E15"/>
    <mergeCell ref="C16:E16"/>
    <mergeCell ref="C17:E17"/>
    <mergeCell ref="C18:E18"/>
    <mergeCell ref="C19:E19"/>
    <mergeCell ref="C20:E20"/>
    <mergeCell ref="C10:E10"/>
    <mergeCell ref="I10:K10"/>
    <mergeCell ref="C11:E11"/>
    <mergeCell ref="C12:E12"/>
    <mergeCell ref="C13:E13"/>
    <mergeCell ref="C14:E14"/>
    <mergeCell ref="C27:E27"/>
    <mergeCell ref="C28:E28"/>
    <mergeCell ref="C29:E29"/>
    <mergeCell ref="C30:E30"/>
    <mergeCell ref="C31:E31"/>
    <mergeCell ref="C32:E32"/>
    <mergeCell ref="C21:E21"/>
    <mergeCell ref="C22:E22"/>
    <mergeCell ref="C23:E23"/>
    <mergeCell ref="C24:E24"/>
    <mergeCell ref="C25:E25"/>
    <mergeCell ref="C26:E26"/>
    <mergeCell ref="C39:E39"/>
    <mergeCell ref="C40:E40"/>
    <mergeCell ref="C41:E41"/>
    <mergeCell ref="C42:E42"/>
    <mergeCell ref="C43:E43"/>
    <mergeCell ref="C44:E44"/>
    <mergeCell ref="C33:E33"/>
    <mergeCell ref="C34:E34"/>
    <mergeCell ref="C35:E35"/>
    <mergeCell ref="C36:E36"/>
    <mergeCell ref="C37:E37"/>
    <mergeCell ref="C38:E38"/>
    <mergeCell ref="C51:E51"/>
    <mergeCell ref="C52:E52"/>
    <mergeCell ref="C53:E53"/>
    <mergeCell ref="C54:E54"/>
    <mergeCell ref="C55:E55"/>
    <mergeCell ref="C56:E56"/>
    <mergeCell ref="C45:E45"/>
    <mergeCell ref="C46:E46"/>
    <mergeCell ref="C47:E47"/>
    <mergeCell ref="C48:E48"/>
    <mergeCell ref="C49:E49"/>
    <mergeCell ref="C50:E50"/>
    <mergeCell ref="C63:E63"/>
    <mergeCell ref="C64:E64"/>
    <mergeCell ref="C65:E65"/>
    <mergeCell ref="C66:E66"/>
    <mergeCell ref="C67:E67"/>
    <mergeCell ref="C68:E68"/>
    <mergeCell ref="C57:E57"/>
    <mergeCell ref="C58:E58"/>
    <mergeCell ref="C59:E59"/>
    <mergeCell ref="C60:E60"/>
    <mergeCell ref="C61:E61"/>
    <mergeCell ref="C62:E62"/>
    <mergeCell ref="C75:E75"/>
    <mergeCell ref="C76:E76"/>
    <mergeCell ref="C77:E77"/>
    <mergeCell ref="C78:E78"/>
    <mergeCell ref="C79:E79"/>
    <mergeCell ref="C80:E80"/>
    <mergeCell ref="C69:E69"/>
    <mergeCell ref="C70:E70"/>
    <mergeCell ref="C71:E71"/>
    <mergeCell ref="C72:E72"/>
    <mergeCell ref="C73:E73"/>
    <mergeCell ref="C74:E74"/>
    <mergeCell ref="C87:E87"/>
    <mergeCell ref="C88:E88"/>
    <mergeCell ref="C89:E89"/>
    <mergeCell ref="C90:E90"/>
    <mergeCell ref="C91:E91"/>
    <mergeCell ref="C92:E92"/>
    <mergeCell ref="C81:E81"/>
    <mergeCell ref="C82:E82"/>
    <mergeCell ref="C83:E83"/>
    <mergeCell ref="C84:E84"/>
    <mergeCell ref="C85:E85"/>
    <mergeCell ref="C86:E86"/>
    <mergeCell ref="C99:E99"/>
    <mergeCell ref="C100:E100"/>
    <mergeCell ref="C101:E101"/>
    <mergeCell ref="C102:E102"/>
    <mergeCell ref="C103:E103"/>
    <mergeCell ref="C104:E104"/>
    <mergeCell ref="C93:E93"/>
    <mergeCell ref="C94:E94"/>
    <mergeCell ref="C95:E95"/>
    <mergeCell ref="C96:E96"/>
    <mergeCell ref="C97:E97"/>
    <mergeCell ref="C98:E98"/>
    <mergeCell ref="C111:E111"/>
    <mergeCell ref="C112:E112"/>
    <mergeCell ref="C113:E113"/>
    <mergeCell ref="C114:E114"/>
    <mergeCell ref="C115:E115"/>
    <mergeCell ref="C116:E116"/>
    <mergeCell ref="C105:E105"/>
    <mergeCell ref="C106:E106"/>
    <mergeCell ref="C107:E107"/>
    <mergeCell ref="C108:E108"/>
    <mergeCell ref="C109:E109"/>
    <mergeCell ref="C110:E110"/>
    <mergeCell ref="C123:E123"/>
    <mergeCell ref="C124:E124"/>
    <mergeCell ref="C125:E125"/>
    <mergeCell ref="C126:E126"/>
    <mergeCell ref="C127:E127"/>
    <mergeCell ref="C128:E128"/>
    <mergeCell ref="C117:E117"/>
    <mergeCell ref="C118:E118"/>
    <mergeCell ref="C119:E119"/>
    <mergeCell ref="C120:E120"/>
    <mergeCell ref="C121:E121"/>
    <mergeCell ref="C122:E122"/>
    <mergeCell ref="C135:E135"/>
    <mergeCell ref="C136:E136"/>
    <mergeCell ref="C137:E137"/>
    <mergeCell ref="C138:E138"/>
    <mergeCell ref="C139:E139"/>
    <mergeCell ref="C140:E140"/>
    <mergeCell ref="C129:E129"/>
    <mergeCell ref="C130:E130"/>
    <mergeCell ref="C131:E131"/>
    <mergeCell ref="C132:E132"/>
    <mergeCell ref="C133:E133"/>
    <mergeCell ref="C134:E134"/>
    <mergeCell ref="C147:E147"/>
    <mergeCell ref="C148:E148"/>
    <mergeCell ref="C149:E149"/>
    <mergeCell ref="C150:E150"/>
    <mergeCell ref="C151:E151"/>
    <mergeCell ref="C152:E152"/>
    <mergeCell ref="C141:E141"/>
    <mergeCell ref="C142:E142"/>
    <mergeCell ref="C143:E143"/>
    <mergeCell ref="C144:E144"/>
    <mergeCell ref="C145:E145"/>
    <mergeCell ref="C146:E146"/>
    <mergeCell ref="C159:E159"/>
    <mergeCell ref="C160:E160"/>
    <mergeCell ref="C161:E161"/>
    <mergeCell ref="C162:E162"/>
    <mergeCell ref="C163:E163"/>
    <mergeCell ref="C164:E164"/>
    <mergeCell ref="C153:E153"/>
    <mergeCell ref="C154:E154"/>
    <mergeCell ref="C155:E155"/>
    <mergeCell ref="C156:E156"/>
    <mergeCell ref="C157:E157"/>
    <mergeCell ref="C158:E158"/>
    <mergeCell ref="C171:E171"/>
    <mergeCell ref="C172:E172"/>
    <mergeCell ref="C173:E173"/>
    <mergeCell ref="C174:E174"/>
    <mergeCell ref="C175:E175"/>
    <mergeCell ref="C176:E176"/>
    <mergeCell ref="C165:E165"/>
    <mergeCell ref="C166:E166"/>
    <mergeCell ref="C167:E167"/>
    <mergeCell ref="C168:E168"/>
    <mergeCell ref="C169:E169"/>
    <mergeCell ref="C170:E170"/>
    <mergeCell ref="C183:E183"/>
    <mergeCell ref="C184:E184"/>
    <mergeCell ref="C185:E185"/>
    <mergeCell ref="C186:E186"/>
    <mergeCell ref="C187:E187"/>
    <mergeCell ref="C188:E188"/>
    <mergeCell ref="C177:E177"/>
    <mergeCell ref="C178:E178"/>
    <mergeCell ref="C179:E179"/>
    <mergeCell ref="C180:E180"/>
    <mergeCell ref="C181:E181"/>
    <mergeCell ref="C182:E182"/>
    <mergeCell ref="C195:E195"/>
    <mergeCell ref="C196:E196"/>
    <mergeCell ref="C197:E197"/>
    <mergeCell ref="C198:E198"/>
    <mergeCell ref="C199:E199"/>
    <mergeCell ref="C200:E200"/>
    <mergeCell ref="C189:E189"/>
    <mergeCell ref="C190:E190"/>
    <mergeCell ref="C191:E191"/>
    <mergeCell ref="C192:E192"/>
    <mergeCell ref="C193:E193"/>
    <mergeCell ref="C194:E194"/>
    <mergeCell ref="C207:E207"/>
    <mergeCell ref="C208:E208"/>
    <mergeCell ref="C209:E209"/>
    <mergeCell ref="C210:E210"/>
    <mergeCell ref="C211:E211"/>
    <mergeCell ref="C212:E212"/>
    <mergeCell ref="C201:E201"/>
    <mergeCell ref="C202:E202"/>
    <mergeCell ref="C203:E203"/>
    <mergeCell ref="C204:E204"/>
    <mergeCell ref="C205:E205"/>
    <mergeCell ref="C206:E206"/>
    <mergeCell ref="C219:E219"/>
    <mergeCell ref="C220:E220"/>
    <mergeCell ref="C221:E221"/>
    <mergeCell ref="C222:E222"/>
    <mergeCell ref="C223:E223"/>
    <mergeCell ref="C224:E224"/>
    <mergeCell ref="C213:E213"/>
    <mergeCell ref="C214:E214"/>
    <mergeCell ref="C215:E215"/>
    <mergeCell ref="C216:E216"/>
    <mergeCell ref="C217:E217"/>
    <mergeCell ref="C218:E218"/>
    <mergeCell ref="C231:E231"/>
    <mergeCell ref="C232:E232"/>
    <mergeCell ref="C233:E233"/>
    <mergeCell ref="C234:E234"/>
    <mergeCell ref="C235:E235"/>
    <mergeCell ref="C236:E236"/>
    <mergeCell ref="C225:E225"/>
    <mergeCell ref="C226:E226"/>
    <mergeCell ref="C227:E227"/>
    <mergeCell ref="C228:E228"/>
    <mergeCell ref="C229:E229"/>
    <mergeCell ref="C230:E230"/>
    <mergeCell ref="C243:E243"/>
    <mergeCell ref="C244:E244"/>
    <mergeCell ref="C245:E245"/>
    <mergeCell ref="C246:E246"/>
    <mergeCell ref="C247:E247"/>
    <mergeCell ref="C248:E248"/>
    <mergeCell ref="C237:E237"/>
    <mergeCell ref="C238:E238"/>
    <mergeCell ref="C239:E239"/>
    <mergeCell ref="C240:E240"/>
    <mergeCell ref="C241:E241"/>
    <mergeCell ref="C242:E242"/>
    <mergeCell ref="C255:E255"/>
    <mergeCell ref="C256:E256"/>
    <mergeCell ref="C257:E257"/>
    <mergeCell ref="C258:E258"/>
    <mergeCell ref="C259:E259"/>
    <mergeCell ref="C260:E260"/>
    <mergeCell ref="C249:E249"/>
    <mergeCell ref="C250:E250"/>
    <mergeCell ref="C251:E251"/>
    <mergeCell ref="C252:E252"/>
    <mergeCell ref="C253:E253"/>
    <mergeCell ref="C254:E254"/>
    <mergeCell ref="C267:E267"/>
    <mergeCell ref="C268:E268"/>
    <mergeCell ref="C269:E269"/>
    <mergeCell ref="C270:E270"/>
    <mergeCell ref="C271:E271"/>
    <mergeCell ref="C272:E272"/>
    <mergeCell ref="C261:E261"/>
    <mergeCell ref="C262:E262"/>
    <mergeCell ref="C263:E263"/>
    <mergeCell ref="C264:E264"/>
    <mergeCell ref="C265:E265"/>
    <mergeCell ref="C266:E266"/>
    <mergeCell ref="C279:E279"/>
    <mergeCell ref="C280:E280"/>
    <mergeCell ref="C281:E281"/>
    <mergeCell ref="C282:E282"/>
    <mergeCell ref="C283:E283"/>
    <mergeCell ref="C284:E284"/>
    <mergeCell ref="C273:E273"/>
    <mergeCell ref="C274:E274"/>
    <mergeCell ref="C275:E275"/>
    <mergeCell ref="C276:E276"/>
    <mergeCell ref="C277:E277"/>
    <mergeCell ref="C278:E278"/>
    <mergeCell ref="C291:E291"/>
    <mergeCell ref="C292:E292"/>
    <mergeCell ref="C293:E293"/>
    <mergeCell ref="C294:E294"/>
    <mergeCell ref="C295:E295"/>
    <mergeCell ref="C296:E296"/>
    <mergeCell ref="C285:E285"/>
    <mergeCell ref="C286:E286"/>
    <mergeCell ref="C287:E287"/>
    <mergeCell ref="C288:E288"/>
    <mergeCell ref="C289:E289"/>
    <mergeCell ref="C290:E290"/>
    <mergeCell ref="C303:E303"/>
    <mergeCell ref="C304:E304"/>
    <mergeCell ref="C305:E305"/>
    <mergeCell ref="C306:E306"/>
    <mergeCell ref="C307:E307"/>
    <mergeCell ref="C308:E308"/>
    <mergeCell ref="C297:E297"/>
    <mergeCell ref="C298:E298"/>
    <mergeCell ref="C299:E299"/>
    <mergeCell ref="C300:E300"/>
    <mergeCell ref="C301:E301"/>
    <mergeCell ref="C302:E302"/>
    <mergeCell ref="C315:E315"/>
    <mergeCell ref="C316:E316"/>
    <mergeCell ref="C317:E317"/>
    <mergeCell ref="C318:E318"/>
    <mergeCell ref="C319:E319"/>
    <mergeCell ref="C320:E320"/>
    <mergeCell ref="C309:E309"/>
    <mergeCell ref="C310:E310"/>
    <mergeCell ref="C311:E311"/>
    <mergeCell ref="C312:E312"/>
    <mergeCell ref="C313:E313"/>
    <mergeCell ref="C314:E314"/>
    <mergeCell ref="C327:E327"/>
    <mergeCell ref="C328:E328"/>
    <mergeCell ref="C329:E329"/>
    <mergeCell ref="C330:E330"/>
    <mergeCell ref="C331:E331"/>
    <mergeCell ref="C332:E332"/>
    <mergeCell ref="C321:E321"/>
    <mergeCell ref="C322:E322"/>
    <mergeCell ref="C323:E323"/>
    <mergeCell ref="C324:E324"/>
    <mergeCell ref="C325:E325"/>
    <mergeCell ref="C326:E326"/>
    <mergeCell ref="C339:E339"/>
    <mergeCell ref="C340:E340"/>
    <mergeCell ref="C341:E341"/>
    <mergeCell ref="C342:E342"/>
    <mergeCell ref="C343:E343"/>
    <mergeCell ref="C344:E344"/>
    <mergeCell ref="C333:E333"/>
    <mergeCell ref="C334:E334"/>
    <mergeCell ref="C335:E335"/>
    <mergeCell ref="C336:E336"/>
    <mergeCell ref="C337:E337"/>
    <mergeCell ref="C338:E338"/>
    <mergeCell ref="C351:E351"/>
    <mergeCell ref="C352:E352"/>
    <mergeCell ref="C353:E353"/>
    <mergeCell ref="C354:E354"/>
    <mergeCell ref="C355:E355"/>
    <mergeCell ref="C356:E356"/>
    <mergeCell ref="C345:E345"/>
    <mergeCell ref="C346:E346"/>
    <mergeCell ref="C347:E347"/>
    <mergeCell ref="C348:E348"/>
    <mergeCell ref="C349:E349"/>
    <mergeCell ref="C350:E350"/>
    <mergeCell ref="C363:E363"/>
    <mergeCell ref="C364:E364"/>
    <mergeCell ref="C365:E365"/>
    <mergeCell ref="C366:E366"/>
    <mergeCell ref="C367:E367"/>
    <mergeCell ref="C368:E368"/>
    <mergeCell ref="C357:E357"/>
    <mergeCell ref="C358:E358"/>
    <mergeCell ref="C359:E359"/>
    <mergeCell ref="C360:E360"/>
    <mergeCell ref="C361:E361"/>
    <mergeCell ref="C362:E362"/>
    <mergeCell ref="C375:E375"/>
    <mergeCell ref="C376:E376"/>
    <mergeCell ref="C377:E377"/>
    <mergeCell ref="C378:E378"/>
    <mergeCell ref="C379:E379"/>
    <mergeCell ref="C380:E380"/>
    <mergeCell ref="C369:E369"/>
    <mergeCell ref="C370:E370"/>
    <mergeCell ref="C371:E371"/>
    <mergeCell ref="C372:E372"/>
    <mergeCell ref="C373:E373"/>
    <mergeCell ref="C374:E374"/>
    <mergeCell ref="C387:E387"/>
    <mergeCell ref="C388:E388"/>
    <mergeCell ref="C389:E389"/>
    <mergeCell ref="C390:E390"/>
    <mergeCell ref="C391:E391"/>
    <mergeCell ref="C392:E392"/>
    <mergeCell ref="C381:E381"/>
    <mergeCell ref="C382:E382"/>
    <mergeCell ref="C383:E383"/>
    <mergeCell ref="C384:E384"/>
    <mergeCell ref="C385:E385"/>
    <mergeCell ref="C386:E386"/>
    <mergeCell ref="C399:E399"/>
    <mergeCell ref="C400:E400"/>
    <mergeCell ref="I401:J401"/>
    <mergeCell ref="A403:K403"/>
    <mergeCell ref="C393:E393"/>
    <mergeCell ref="C394:E394"/>
    <mergeCell ref="C395:E395"/>
    <mergeCell ref="C396:E396"/>
    <mergeCell ref="C397:E397"/>
    <mergeCell ref="C398:E398"/>
  </mergeCells>
  <printOptions horizontalCentered="1"/>
  <pageMargins left="0.3937007874015748" right="0" top="0.5905511811023623" bottom="0.5905511811023623" header="0.5118110236220472" footer="0.5118110236220472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Monika</cp:lastModifiedBy>
  <cp:lastPrinted>2019-05-16T11:07:47Z</cp:lastPrinted>
  <dcterms:created xsi:type="dcterms:W3CDTF">2019-05-16T11:04:48Z</dcterms:created>
  <dcterms:modified xsi:type="dcterms:W3CDTF">2019-07-02T06:30:02Z</dcterms:modified>
  <cp:category/>
  <cp:version/>
  <cp:contentType/>
  <cp:contentStatus/>
</cp:coreProperties>
</file>