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filterPrivacy="1"/>
  <bookViews>
    <workbookView xWindow="65416" yWindow="65416" windowWidth="29040" windowHeight="15840" activeTab="2"/>
  </bookViews>
  <sheets>
    <sheet name="Rekapitulace stavby" sheetId="1" r:id="rId1"/>
    <sheet name="9 - Stavební úpravy objektu F" sheetId="2" r:id="rId2"/>
    <sheet name="Elektroinstalace" sheetId="3" r:id="rId3"/>
  </sheets>
  <definedNames>
    <definedName name="_xlnm._FilterDatabase" localSheetId="1" hidden="1">'9 - Stavební úpravy objektu F'!$C$133:$K$194</definedName>
    <definedName name="_xlnm.Print_Area" localSheetId="1">'9 - Stavební úpravy objektu F'!$C$4:$K$216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'9 - Stavební úpravy objektu F'!$133:$133</definedName>
  </definedNames>
  <calcPr calcId="145621"/>
  <extLst/>
</workbook>
</file>

<file path=xl/sharedStrings.xml><?xml version="1.0" encoding="utf-8"?>
<sst xmlns="http://schemas.openxmlformats.org/spreadsheetml/2006/main" count="1393" uniqueCount="459">
  <si>
    <t>Export Komplet</t>
  </si>
  <si>
    <t/>
  </si>
  <si>
    <t>2.0</t>
  </si>
  <si>
    <t>False</t>
  </si>
  <si>
    <t>{d789ab7c-5dfa-4606-83bf-4ed0ac7b2267}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</si>
  <si>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</si>
  <si>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</si>
  <si>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</si>
  <si>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</si>
  <si>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</si>
  <si>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</si>
  <si>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</si>
  <si>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</si>
  <si>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19</t>
  </si>
  <si>
    <t>Stavba:</t>
  </si>
  <si>
    <t>0,1</t>
  </si>
  <si>
    <t>KSO: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</si>
  <si>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</si>
  <si>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</si>
  <si>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</si>
  <si>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</si>
  <si>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</si>
  <si>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</si>
  <si>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</si>
  <si>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</si>
  <si>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</si>
  <si>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</si>
  <si>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</si>
  <si>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</si>
  <si>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</si>
  <si>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</si>
  <si>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</si>
  <si>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</si>
  <si>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</si>
  <si>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</si>
  <si>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</si>
  <si>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</si>
  <si>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</si>
  <si>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</si>
  <si>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</si>
  <si>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</si>
  <si>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</si>
  <si>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</si>
  <si>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</si>
  <si>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</si>
  <si>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</si>
  <si>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</si>
  <si>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</si>
  <si>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</si>
  <si>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</si>
  <si>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</si>
  <si>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</si>
  <si>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</si>
  <si>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</si>
  <si>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</si>
  <si>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</si>
  <si>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</si>
  <si>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</si>
  <si>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</si>
  <si>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</si>
  <si>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</si>
  <si>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</si>
  <si>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</si>
  <si>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</si>
  <si>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</si>
  <si>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</si>
  <si>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</si>
  <si>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</si>
  <si>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</si>
  <si>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</si>
  <si>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</si>
  <si>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</si>
  <si>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</si>
  <si>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</si>
  <si>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</si>
  <si>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</si>
  <si>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</si>
  <si>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9</t>
  </si>
  <si>
    <t>STA</t>
  </si>
  <si>
    <t>{6194b728-e591-4dbf-b1c1-e8f93a3ddf42}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</si>
  <si>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</si>
  <si>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</si>
  <si>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</si>
  <si>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</si>
  <si>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</si>
  <si>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</si>
  <si>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</si>
  <si>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</si>
  <si>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</si>
  <si>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</si>
  <si>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</si>
  <si>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</si>
  <si>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</si>
  <si>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</si>
  <si>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</si>
  <si>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</si>
  <si>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</si>
  <si>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763 - Konstrukce suché výstavby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</si>
  <si>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</si>
  <si>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</si>
  <si>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</si>
  <si>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</si>
  <si>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</si>
  <si>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</si>
  <si>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</si>
  <si>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</si>
  <si>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</si>
  <si>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</si>
  <si>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</si>
  <si>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</si>
  <si>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</si>
  <si>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</si>
  <si>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</si>
  <si>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</si>
  <si>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</si>
  <si>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</si>
  <si>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</si>
  <si>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</si>
  <si>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</si>
  <si>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</si>
  <si>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</si>
  <si>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</si>
  <si>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</si>
  <si>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</si>
  <si>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</si>
  <si>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</si>
  <si>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tl do 30 mm maltou</t>
  </si>
  <si>
    <t>m2</t>
  </si>
  <si>
    <t>4</t>
  </si>
  <si>
    <t>-1511569436</t>
  </si>
  <si>
    <t>6</t>
  </si>
  <si>
    <t>Úpravy povrchů, podlahy a osazování výplní</t>
  </si>
  <si>
    <t>612321121</t>
  </si>
  <si>
    <t>Vápenocementová omítka hladká jednovrstvá vnitřních stěn nanášená ručně</t>
  </si>
  <si>
    <t>1963046201</t>
  </si>
  <si>
    <t>612321141</t>
  </si>
  <si>
    <t>Vápenocementová omítka štuková dvouvrstvá vnitřních stěn nanášená ručně</t>
  </si>
  <si>
    <t>-1220301774</t>
  </si>
  <si>
    <t>61232511R</t>
  </si>
  <si>
    <t>kpl</t>
  </si>
  <si>
    <t>1627097439</t>
  </si>
  <si>
    <t>5</t>
  </si>
  <si>
    <t>619995001</t>
  </si>
  <si>
    <t>Začištění omítek kolem oken, dveří, podlah nebo obkladů</t>
  </si>
  <si>
    <t>m</t>
  </si>
  <si>
    <t>902710971</t>
  </si>
  <si>
    <t>629991001</t>
  </si>
  <si>
    <t>Zakrytí podélných ploch fólií volně položenou</t>
  </si>
  <si>
    <t>182503098</t>
  </si>
  <si>
    <t>7</t>
  </si>
  <si>
    <t>629991011</t>
  </si>
  <si>
    <t>Zakrytí výplní otvorů a svislých ploch fólií přilepenou lepící páskou</t>
  </si>
  <si>
    <t>788583462</t>
  </si>
  <si>
    <t>8</t>
  </si>
  <si>
    <t>63131111R</t>
  </si>
  <si>
    <t>Mazanina tl do 80 mm z betonu prostého bez zvýšených nároků na prostředí tř. C 16/20 z pytlované směsi</t>
  </si>
  <si>
    <t>m3</t>
  </si>
  <si>
    <t>-1954067810</t>
  </si>
  <si>
    <t>Ostatní konstrukce a práce, bourání</t>
  </si>
  <si>
    <t>949101111</t>
  </si>
  <si>
    <t>Lešení pomocné pro objekty pozemních staveb s lešeňovou podlahou v do 1,9 m zatížení do 150 kg/m2</t>
  </si>
  <si>
    <t>-1094981848</t>
  </si>
  <si>
    <t>952901111</t>
  </si>
  <si>
    <t>Vyčištění budov bytové a občanské výstavby při výšce podlaží do 4 m</t>
  </si>
  <si>
    <t>1072278126</t>
  </si>
  <si>
    <t>11</t>
  </si>
  <si>
    <t>965081343</t>
  </si>
  <si>
    <t>Bourání podlah z dlaždic betonových, teracových nebo čedičových tl do 40 mm plochy přes 1 m2</t>
  </si>
  <si>
    <t>1556306683</t>
  </si>
  <si>
    <t>12</t>
  </si>
  <si>
    <t>977151119</t>
  </si>
  <si>
    <t>Jádrové vrty diamantovými korunkami do D 110 mm do stavebních materiálů</t>
  </si>
  <si>
    <t>-2094603344</t>
  </si>
  <si>
    <t>13</t>
  </si>
  <si>
    <t>978013191</t>
  </si>
  <si>
    <t>Otlučení vnitřní vápenné nebo vápenocementové omítky stěn stěn v rozsahu do 100 %</t>
  </si>
  <si>
    <t>-460971651</t>
  </si>
  <si>
    <t>14</t>
  </si>
  <si>
    <t>978059541</t>
  </si>
  <si>
    <t>Odsekání a odebrání obkladů stěn z vnitřních obkládaček plochy přes 1 m2</t>
  </si>
  <si>
    <t>-1028033747</t>
  </si>
  <si>
    <t>997</t>
  </si>
  <si>
    <t>Přesun sutě</t>
  </si>
  <si>
    <t>997002611</t>
  </si>
  <si>
    <t>Nakládání suti a vybouraných hmot</t>
  </si>
  <si>
    <t>t</t>
  </si>
  <si>
    <t>558136740</t>
  </si>
  <si>
    <t>16</t>
  </si>
  <si>
    <t>997013211</t>
  </si>
  <si>
    <t>Vnitrostaveništní doprava suti a vybouraných hmot pro budovy v do 6 m ručně</t>
  </si>
  <si>
    <t>91743625</t>
  </si>
  <si>
    <t>17</t>
  </si>
  <si>
    <t>997013501</t>
  </si>
  <si>
    <t>Odvoz suti a vybouraných hmot na skládku nebo meziskládku do 1 km se složením</t>
  </si>
  <si>
    <t>-1016812751</t>
  </si>
  <si>
    <t>18</t>
  </si>
  <si>
    <t>997013509</t>
  </si>
  <si>
    <t>Příplatek k odvozu suti a vybouraných hmot na skládku ZKD 1 km přes 1 km</t>
  </si>
  <si>
    <t>-641822741</t>
  </si>
  <si>
    <t>99701380R</t>
  </si>
  <si>
    <t>Poplatek za uložení stavebního odpadu na skládce (skládkovné)</t>
  </si>
  <si>
    <t>876364798</t>
  </si>
  <si>
    <t>998</t>
  </si>
  <si>
    <t>Přesun hmot</t>
  </si>
  <si>
    <t>20</t>
  </si>
  <si>
    <t>998018001</t>
  </si>
  <si>
    <t>Přesun hmot ruční pro budovy v do 6 m</t>
  </si>
  <si>
    <t>301865144</t>
  </si>
  <si>
    <t>PSV</t>
  </si>
  <si>
    <t>Práce a dodávky PSV</t>
  </si>
  <si>
    <t>711</t>
  </si>
  <si>
    <t>Izolace proti vodě, vlhkosti a plynům</t>
  </si>
  <si>
    <t>71119312R</t>
  </si>
  <si>
    <t>Hydroizolace těsnicí kaší HASOFT</t>
  </si>
  <si>
    <t>2129224814</t>
  </si>
  <si>
    <t>741</t>
  </si>
  <si>
    <t>Elektroinstalace - silnoproud</t>
  </si>
  <si>
    <t>22</t>
  </si>
  <si>
    <t>74111000R</t>
  </si>
  <si>
    <t>Elektroinstalace - dle rozpočtu v příloze</t>
  </si>
  <si>
    <t>236501580</t>
  </si>
  <si>
    <t>763</t>
  </si>
  <si>
    <t>Konstrukce suché výstavby</t>
  </si>
  <si>
    <t>23</t>
  </si>
  <si>
    <t>763131411</t>
  </si>
  <si>
    <t>SDK podhled desky 1xA 12,5 bez TI dvouvrstvá spodní kce profil CD+UD</t>
  </si>
  <si>
    <t>-1150302635</t>
  </si>
  <si>
    <t>24</t>
  </si>
  <si>
    <t>763131451</t>
  </si>
  <si>
    <t>SDK podhled deska 1xH2 12,5 bez TI dvouvrstvá spodní kce profil CD+UD</t>
  </si>
  <si>
    <t>-2022844894</t>
  </si>
  <si>
    <t>25</t>
  </si>
  <si>
    <t>998763100</t>
  </si>
  <si>
    <t>Přesun hmot tonážní pro dřevostavby v objektech v do 6 m</t>
  </si>
  <si>
    <t>-201319095</t>
  </si>
  <si>
    <t>26</t>
  </si>
  <si>
    <t>998763181</t>
  </si>
  <si>
    <t>Příplatek k přesunu hmot tonážní pro 763 dřevostavby prováděný bez použití mechanizace</t>
  </si>
  <si>
    <t>-1658267280</t>
  </si>
  <si>
    <t>781</t>
  </si>
  <si>
    <t>Dokončovací práce - obklady</t>
  </si>
  <si>
    <t>27</t>
  </si>
  <si>
    <t>781121011</t>
  </si>
  <si>
    <t>Nátěr penetrační na stěnu</t>
  </si>
  <si>
    <t>566996086</t>
  </si>
  <si>
    <t>28</t>
  </si>
  <si>
    <t>781474114</t>
  </si>
  <si>
    <t>Montáž obkladů vnitřních keramických hladkých do 22 ks/m2 lepených flexibilním lepidlem</t>
  </si>
  <si>
    <t>1628038470</t>
  </si>
  <si>
    <t>29</t>
  </si>
  <si>
    <t>M</t>
  </si>
  <si>
    <t>59761039R</t>
  </si>
  <si>
    <t>32</t>
  </si>
  <si>
    <t>886149540</t>
  </si>
  <si>
    <t>30</t>
  </si>
  <si>
    <t>781494111</t>
  </si>
  <si>
    <t>Plastové profily rohové lepené flexibilním lepidlem</t>
  </si>
  <si>
    <t>-212857502</t>
  </si>
  <si>
    <t>31</t>
  </si>
  <si>
    <t>781494511</t>
  </si>
  <si>
    <t>Plastové profily ukončovací lepené flexibilním lepidlem</t>
  </si>
  <si>
    <t>-891423021</t>
  </si>
  <si>
    <t>781495115</t>
  </si>
  <si>
    <t>Spárování vnitřních obkladů silikonem</t>
  </si>
  <si>
    <t>1298773211</t>
  </si>
  <si>
    <t>33</t>
  </si>
  <si>
    <t>781495142</t>
  </si>
  <si>
    <t>Průnik obkladem kruhový do DN 90 bez izolace</t>
  </si>
  <si>
    <t>kus</t>
  </si>
  <si>
    <t>1247788711</t>
  </si>
  <si>
    <t>34</t>
  </si>
  <si>
    <t>998781101</t>
  </si>
  <si>
    <t>Přesun hmot tonážní pro obklady keramické v objektech v do 6 m</t>
  </si>
  <si>
    <t>-1582897008</t>
  </si>
  <si>
    <t>783</t>
  </si>
  <si>
    <t>Dokončovací práce - nátěry</t>
  </si>
  <si>
    <t>35</t>
  </si>
  <si>
    <t>613870473</t>
  </si>
  <si>
    <t>784</t>
  </si>
  <si>
    <t>Dokončovací práce - malby a tapety</t>
  </si>
  <si>
    <t>36</t>
  </si>
  <si>
    <t>784111031</t>
  </si>
  <si>
    <t>Omytí podkladu v místnostech výšky do 3,80 m</t>
  </si>
  <si>
    <t>2092612286</t>
  </si>
  <si>
    <t>37</t>
  </si>
  <si>
    <t>784121001</t>
  </si>
  <si>
    <t>Oškrabání malby v mísnostech výšky do 3,80 m</t>
  </si>
  <si>
    <t>313466996</t>
  </si>
  <si>
    <t>38</t>
  </si>
  <si>
    <t>784211101</t>
  </si>
  <si>
    <t>Dvojnásobné bílé malby ze směsí za mokra výborně otěruvzdorných v místnostech výšky do 3,80 m</t>
  </si>
  <si>
    <t>262201581</t>
  </si>
  <si>
    <t>VRN</t>
  </si>
  <si>
    <t>Vedlejší rozpočtové náklady</t>
  </si>
  <si>
    <t>VRN1</t>
  </si>
  <si>
    <t>Průzkumné, geodetické a projektové práce</t>
  </si>
  <si>
    <t>42</t>
  </si>
  <si>
    <t>011002000</t>
  </si>
  <si>
    <t>Průzkumné práce</t>
  </si>
  <si>
    <t>…</t>
  </si>
  <si>
    <t>1024</t>
  </si>
  <si>
    <t>-373883873</t>
  </si>
  <si>
    <t>VRN3</t>
  </si>
  <si>
    <t>Zařízení staveniště</t>
  </si>
  <si>
    <t>39</t>
  </si>
  <si>
    <t>030001000</t>
  </si>
  <si>
    <t>-2060329652</t>
  </si>
  <si>
    <t>VRN4</t>
  </si>
  <si>
    <t>Inženýrská činnost</t>
  </si>
  <si>
    <t>40</t>
  </si>
  <si>
    <t>040001000</t>
  </si>
  <si>
    <t>-187677349</t>
  </si>
  <si>
    <t>VRN9</t>
  </si>
  <si>
    <t>Ostatní náklady</t>
  </si>
  <si>
    <t>41</t>
  </si>
  <si>
    <t>090001000</t>
  </si>
  <si>
    <t>102117531</t>
  </si>
  <si>
    <t>Název stavby:</t>
  </si>
  <si>
    <t>Doba výstavby:</t>
  </si>
  <si>
    <t>Objednatel:</t>
  </si>
  <si>
    <t> </t>
  </si>
  <si>
    <t>Druh stavby:</t>
  </si>
  <si>
    <t>Začátek výstavby:</t>
  </si>
  <si>
    <t>Lokalita:</t>
  </si>
  <si>
    <t>Konec výstavby:</t>
  </si>
  <si>
    <t>JKSO:</t>
  </si>
  <si>
    <t>Zpracováno dne:</t>
  </si>
  <si>
    <t>Zpracoval:</t>
  </si>
  <si>
    <t>Č</t>
  </si>
  <si>
    <t>Objekt</t>
  </si>
  <si>
    <t>Zkrácený popis</t>
  </si>
  <si>
    <t>Cena/MJ</t>
  </si>
  <si>
    <t>Náklady (Kč)</t>
  </si>
  <si>
    <t>Hmotnost (t)</t>
  </si>
  <si>
    <t>Cenová</t>
  </si>
  <si>
    <t>Rozměry</t>
  </si>
  <si>
    <t>(Kč)</t>
  </si>
  <si>
    <t>Dodávka</t>
  </si>
  <si>
    <t>Montáž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</si>
  <si>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</si>
  <si>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</si>
  <si>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</si>
  <si>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</si>
  <si>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</si>
  <si>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</si>
  <si>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</si>
  <si>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</si>
  <si>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</si>
  <si>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</si>
  <si>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</si>
  <si>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</si>
  <si>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</si>
  <si>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</si>
  <si>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</si>
  <si>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RTS II / 2019</t>
  </si>
  <si>
    <t>_</t>
  </si>
  <si>
    <t>90</t>
  </si>
  <si>
    <t>Hodinové zúčtovací sazby (HZS)</t>
  </si>
  <si>
    <t>905      R00</t>
  </si>
  <si>
    <t>Hzs-revize provoz.souboru a st.obj.</t>
  </si>
  <si>
    <t>h</t>
  </si>
  <si>
    <t>90_</t>
  </si>
  <si>
    <t>9_</t>
  </si>
  <si>
    <t>905      R02</t>
  </si>
  <si>
    <t>909      R00</t>
  </si>
  <si>
    <t>Hzs-nezmeritelne stavebni prace</t>
  </si>
  <si>
    <t>903      R00</t>
  </si>
  <si>
    <t>97</t>
  </si>
  <si>
    <t>Prorážení otvorů a ostatní bourací práce</t>
  </si>
  <si>
    <t>973031616R00</t>
  </si>
  <si>
    <t>Vysekání kapes zeď cih. špalíky, krabice 10x10x5cm</t>
  </si>
  <si>
    <t>97_</t>
  </si>
  <si>
    <t>974031121R00</t>
  </si>
  <si>
    <t>Vysekání rýh ve zdi cihelné 3 x 3 cm</t>
  </si>
  <si>
    <t>974031133R00</t>
  </si>
  <si>
    <t>Vysekání rýh ve zdi cihelné 5 x 10 cm</t>
  </si>
  <si>
    <t>974082172R00</t>
  </si>
  <si>
    <t>Vysekání rýh vodiče omítka stropů MVC šířka 3 cm</t>
  </si>
  <si>
    <t>H99</t>
  </si>
  <si>
    <t>Ostatní přesuny hmot</t>
  </si>
  <si>
    <t>999281105R00</t>
  </si>
  <si>
    <t>Přesun hmot pro opravy a údržbu do výšky 6 m</t>
  </si>
  <si>
    <t>H99_</t>
  </si>
  <si>
    <t>M21</t>
  </si>
  <si>
    <t>Elektromontáže</t>
  </si>
  <si>
    <t>210010025RT2</t>
  </si>
  <si>
    <t>Trubka ohebná z PVC volně, vnější průměr 20 mm</t>
  </si>
  <si>
    <t>M21_</t>
  </si>
  <si>
    <t>210020221R00</t>
  </si>
  <si>
    <t>Výložník kabelový nástěnný včetně dodívky</t>
  </si>
  <si>
    <t>210020306R00</t>
  </si>
  <si>
    <t>Montáž drátěného žlabu včetně dodávky žlabu Dž 100/100 a spojek</t>
  </si>
  <si>
    <t>210100001R00</t>
  </si>
  <si>
    <t>Ukončení vodičů v rozvaděči + zapojení do 2,5 mm2</t>
  </si>
  <si>
    <t>210100060R00</t>
  </si>
  <si>
    <t>Ukončení vodičů v krabici + zapoj. do 2,5 mm2</t>
  </si>
  <si>
    <t>210100062R00</t>
  </si>
  <si>
    <t>Ukončení vodičů v krabici + zapoj. do 6 mm2</t>
  </si>
  <si>
    <t>210100258R00</t>
  </si>
  <si>
    <t>Ukončení celoplast. kabelů zákl./pás.do 5x4 mm2</t>
  </si>
  <si>
    <t>953992321R00</t>
  </si>
  <si>
    <t>Osazení hmoždinek ve stropech z žb.DN 10 - 12 mm</t>
  </si>
  <si>
    <t>210010301RT1</t>
  </si>
  <si>
    <t>Krabice přístrojová KP, bez zapojení, kruhová</t>
  </si>
  <si>
    <t>210010321RT1</t>
  </si>
  <si>
    <t>Krabice univerzální KU a odbočná KO se zapoj.,kruh</t>
  </si>
  <si>
    <t>210010502R00</t>
  </si>
  <si>
    <t>Montáž WAGO svorky 3x2,5 včetně dodávky</t>
  </si>
  <si>
    <t>210190001R00</t>
  </si>
  <si>
    <t>Montáž -skříň pro řadové svorkovnice včetně dodávky  Spelsberg 62006801 RKA 4/68 SL-68x4</t>
  </si>
  <si>
    <t>210110001RT2</t>
  </si>
  <si>
    <t>Spínač nástěnný jednopól.- řaz. 1, obyč.prostředí</t>
  </si>
  <si>
    <t>210110003RT1</t>
  </si>
  <si>
    <t>Spínač nástěnný seriový - řaz. 5, obyč.prostředí</t>
  </si>
  <si>
    <t>210110045RT1</t>
  </si>
  <si>
    <t>Spínač zapuštěný střídavý, řazení 6</t>
  </si>
  <si>
    <t>210110005RT1</t>
  </si>
  <si>
    <t>Spínač nástěnný křížový - řaz. 7, obyč.prostředí</t>
  </si>
  <si>
    <t>210111011RT6</t>
  </si>
  <si>
    <t>Zásuvka domovní zapuštěná - provedení 2P+PE</t>
  </si>
  <si>
    <t>210111014RT6</t>
  </si>
  <si>
    <t>Zásuvka domovní zapuštěná - provedení 2x (2P+PE)</t>
  </si>
  <si>
    <t>210201514R00</t>
  </si>
  <si>
    <t>Montáž led svítidla</t>
  </si>
  <si>
    <t>210120401R00</t>
  </si>
  <si>
    <t>Jistič vzduch.1pólový do 25 A IJV-IJM-PO bez krytu včetně dodávky PL6-B10/1</t>
  </si>
  <si>
    <t>Jistič vzduch.1pólový do 25 A IJV-IJM-PO bez krytu včetně dodávky  PL6-B16/1</t>
  </si>
  <si>
    <t>210120451R00</t>
  </si>
  <si>
    <t>Jistič vzduchový 3pólový do 25 A bez krytu včetně dodavky PL6-B25/3</t>
  </si>
  <si>
    <t>210120452R00</t>
  </si>
  <si>
    <t>Jistič vzduchový do 40A včetně dodávky</t>
  </si>
  <si>
    <t>210120571R00</t>
  </si>
  <si>
    <t>Montáž včetně dodávky PF6-40/4/003 - proudový chránič</t>
  </si>
  <si>
    <t>210810045RT1</t>
  </si>
  <si>
    <t>Kabel CYKY-m 750 V 3 x 1,5 mm2 pevně uložený</t>
  </si>
  <si>
    <t>210810046RT3</t>
  </si>
  <si>
    <t>Kabel CYKY-m 750 V 3 x 2,5 mm2 pevně uložený</t>
  </si>
  <si>
    <t>210810057RT1</t>
  </si>
  <si>
    <t>Kabel CYKY-m 750 V 5 žil 4 až 16 mm pevně uložený</t>
  </si>
  <si>
    <t>Ostatní materiál</t>
  </si>
  <si>
    <t>34824250-1</t>
  </si>
  <si>
    <t>A-Led svítidlo MODUS EVO3500S_CEW  -  25,0 W 3400,0 Lm, IP 20</t>
  </si>
  <si>
    <t>Z99999_</t>
  </si>
  <si>
    <t>Z_</t>
  </si>
  <si>
    <t>34824252-2</t>
  </si>
  <si>
    <t>C-Led svítidlo MODUS EVO5000M_CEW MODUS 33,0 W 5000,0 Lm, IP20</t>
  </si>
  <si>
    <t>Celkem:</t>
  </si>
  <si>
    <t>Rozpočet elektroinstalace</t>
  </si>
  <si>
    <t>HZS demontáž + přepojení stávající elektroistalace</t>
  </si>
  <si>
    <t>Zapravení omítky po rozvodech elektro</t>
  </si>
  <si>
    <t>Nátěr ocelových konstrukcí</t>
  </si>
  <si>
    <t>78332R</t>
  </si>
  <si>
    <t>Střední odborná škola a Střední odborné učiliště Vyškov, příspěvková organizace</t>
  </si>
  <si>
    <t>Oprava elektroinstalace objektu F</t>
  </si>
  <si>
    <t>9 - Stavební úpravy objektu F</t>
  </si>
  <si>
    <t>Stavební úpravy objektu F</t>
  </si>
  <si>
    <t xml:space="preserve">Parametry bělninového obkladu.
- Základní vlastnosti dle normy EN 14411:2012 Bill GL, příloha K
- Rozměry ISO 10545-2 148x148x6 mm
- Finální barevnost bude vybrána na základě fyzických vzorků
- Nasákavost ISO 10545-3 – větší než 10% - obklad bělninový
- Pevnost ISO 10545-4 – větší než 15 MPa - obklad bělninový
- Investor bude mít možnost vybrat si obklad dle vzorků, ,uchazeč uvede do nabídky výrobce obkladu a obchodní název
-kvalita a technické parametry obkladu musí být srovnatelné s kvalitou obkladů běžně prodávaných v české obchodní síti za 500,-Kč bez DPH,což bude zadavatelem ověřeno v prodejnách stavebnin v regionu Vyškov
</t>
  </si>
  <si>
    <t>obkládačky keramické -  parametry viz níže</t>
  </si>
  <si>
    <t>Elektroinstalace objektu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</si>
</sst>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name val="Arial CE"/>
      <family val="2"/>
    </font>
    <font>
      <b/>
      <sz val="11"/>
      <color theme="3" tint="-0.24997000396251678"/>
      <name val="Arial CE"/>
      <family val="2"/>
    </font>
    <font>
      <sz val="11"/>
      <color theme="3" tint="-0.2499700039625167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23" xfId="0" applyFont="1" applyBorder="1" applyAlignment="1">
      <alignment vertical="center"/>
    </xf>
    <xf numFmtId="49" fontId="35" fillId="0" borderId="24" xfId="0" applyNumberFormat="1" applyFont="1" applyBorder="1" applyAlignment="1">
      <alignment horizontal="left" vertical="center"/>
    </xf>
    <xf numFmtId="49" fontId="35" fillId="0" borderId="25" xfId="0" applyNumberFormat="1" applyFont="1" applyBorder="1" applyAlignment="1">
      <alignment horizontal="left" vertical="center"/>
    </xf>
    <xf numFmtId="49" fontId="35" fillId="0" borderId="25" xfId="0" applyNumberFormat="1" applyFont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49" fontId="35" fillId="0" borderId="27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49" fontId="34" fillId="0" borderId="29" xfId="0" applyNumberFormat="1" applyFont="1" applyBorder="1" applyAlignment="1">
      <alignment horizontal="left" vertical="center"/>
    </xf>
    <xf numFmtId="49" fontId="34" fillId="0" borderId="30" xfId="0" applyNumberFormat="1" applyFont="1" applyBorder="1" applyAlignment="1">
      <alignment horizontal="left" vertical="center"/>
    </xf>
    <xf numFmtId="49" fontId="35" fillId="0" borderId="30" xfId="0" applyNumberFormat="1" applyFont="1" applyBorder="1" applyAlignment="1">
      <alignment horizontal="left" vertical="center"/>
    </xf>
    <xf numFmtId="49" fontId="35" fillId="0" borderId="31" xfId="0" applyNumberFormat="1" applyFont="1" applyBorder="1" applyAlignment="1">
      <alignment horizontal="center" vertical="center"/>
    </xf>
    <xf numFmtId="49" fontId="35" fillId="0" borderId="32" xfId="0" applyNumberFormat="1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center" vertical="center"/>
    </xf>
    <xf numFmtId="49" fontId="35" fillId="0" borderId="34" xfId="0" applyNumberFormat="1" applyFont="1" applyBorder="1" applyAlignment="1">
      <alignment horizontal="center" vertical="center"/>
    </xf>
    <xf numFmtId="49" fontId="35" fillId="0" borderId="35" xfId="0" applyNumberFormat="1" applyFont="1" applyBorder="1" applyAlignment="1">
      <alignment horizontal="center" vertical="center"/>
    </xf>
    <xf numFmtId="49" fontId="35" fillId="4" borderId="0" xfId="0" applyNumberFormat="1" applyFont="1" applyFill="1" applyAlignment="1">
      <alignment horizontal="right" vertical="center"/>
    </xf>
    <xf numFmtId="4" fontId="35" fillId="4" borderId="0" xfId="0" applyNumberFormat="1" applyFont="1" applyFill="1" applyAlignment="1">
      <alignment horizontal="right" vertical="center"/>
    </xf>
    <xf numFmtId="49" fontId="34" fillId="0" borderId="0" xfId="0" applyNumberFormat="1" applyFont="1" applyAlignment="1">
      <alignment horizontal="left" vertical="center"/>
    </xf>
    <xf numFmtId="4" fontId="34" fillId="0" borderId="0" xfId="0" applyNumberFormat="1" applyFont="1" applyAlignment="1">
      <alignment horizontal="right" vertical="center"/>
    </xf>
    <xf numFmtId="49" fontId="34" fillId="0" borderId="0" xfId="0" applyNumberFormat="1" applyFont="1" applyAlignment="1">
      <alignment horizontal="right" vertical="center"/>
    </xf>
    <xf numFmtId="49" fontId="34" fillId="4" borderId="0" xfId="0" applyNumberFormat="1" applyFont="1" applyFill="1" applyAlignment="1">
      <alignment horizontal="left" vertical="center"/>
    </xf>
    <xf numFmtId="49" fontId="35" fillId="4" borderId="0" xfId="0" applyNumberFormat="1" applyFont="1" applyFill="1" applyAlignment="1">
      <alignment horizontal="left" vertical="center"/>
    </xf>
    <xf numFmtId="49" fontId="34" fillId="0" borderId="36" xfId="0" applyNumberFormat="1" applyFont="1" applyBorder="1" applyAlignment="1">
      <alignment horizontal="left" vertical="center"/>
    </xf>
    <xf numFmtId="4" fontId="34" fillId="0" borderId="36" xfId="0" applyNumberFormat="1" applyFont="1" applyBorder="1" applyAlignment="1">
      <alignment horizontal="right" vertical="center"/>
    </xf>
    <xf numFmtId="49" fontId="34" fillId="0" borderId="36" xfId="0" applyNumberFormat="1" applyFont="1" applyBorder="1" applyAlignment="1">
      <alignment horizontal="right" vertical="center"/>
    </xf>
    <xf numFmtId="0" fontId="34" fillId="0" borderId="37" xfId="0" applyFont="1" applyBorder="1" applyAlignment="1">
      <alignment vertical="center"/>
    </xf>
    <xf numFmtId="4" fontId="35" fillId="0" borderId="3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35" fillId="0" borderId="38" xfId="0" applyNumberFormat="1" applyFont="1" applyBorder="1" applyAlignment="1">
      <alignment horizontal="center" vertical="center"/>
    </xf>
    <xf numFmtId="49" fontId="35" fillId="0" borderId="37" xfId="0" applyNumberFormat="1" applyFont="1" applyBorder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39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left" vertical="center" wrapText="1"/>
    </xf>
    <xf numFmtId="49" fontId="34" fillId="0" borderId="40" xfId="0" applyNumberFormat="1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49" fontId="34" fillId="0" borderId="0" xfId="0" applyNumberFormat="1" applyFont="1" applyAlignment="1">
      <alignment horizontal="left" vertical="center"/>
    </xf>
    <xf numFmtId="0" fontId="34" fillId="0" borderId="23" xfId="0" applyFont="1" applyBorder="1" applyAlignment="1">
      <alignment horizontal="left" vertical="center" wrapText="1"/>
    </xf>
    <xf numFmtId="0" fontId="35" fillId="0" borderId="37" xfId="0" applyFont="1" applyBorder="1" applyAlignment="1">
      <alignment horizontal="left" vertical="center" wrapText="1"/>
    </xf>
    <xf numFmtId="49" fontId="34" fillId="0" borderId="42" xfId="0" applyNumberFormat="1" applyFont="1" applyBorder="1" applyAlignment="1">
      <alignment horizontal="left" vertical="center"/>
    </xf>
    <xf numFmtId="49" fontId="33" fillId="0" borderId="36" xfId="0" applyNumberFormat="1" applyFont="1" applyBorder="1" applyAlignment="1">
      <alignment horizontal="center"/>
    </xf>
    <xf numFmtId="0" fontId="34" fillId="0" borderId="43" xfId="0" applyFont="1" applyBorder="1" applyAlignment="1">
      <alignment horizontal="left" vertical="center" wrapText="1"/>
    </xf>
    <xf numFmtId="49" fontId="34" fillId="0" borderId="37" xfId="0" applyNumberFormat="1" applyFont="1" applyBorder="1" applyAlignment="1">
      <alignment horizontal="left" vertical="center"/>
    </xf>
    <xf numFmtId="0" fontId="34" fillId="0" borderId="37" xfId="0" applyFont="1" applyBorder="1" applyAlignment="1">
      <alignment horizontal="left" vertical="center" wrapText="1"/>
    </xf>
    <xf numFmtId="49" fontId="34" fillId="0" borderId="37" xfId="0" applyNumberFormat="1" applyFont="1" applyBorder="1" applyAlignment="1">
      <alignment horizontal="left" vertical="center" wrapText="1"/>
    </xf>
    <xf numFmtId="49" fontId="34" fillId="0" borderId="44" xfId="0" applyNumberFormat="1" applyFont="1" applyBorder="1" applyAlignment="1">
      <alignment horizontal="left" vertical="center" wrapText="1"/>
    </xf>
    <xf numFmtId="49" fontId="34" fillId="0" borderId="0" xfId="0" applyNumberFormat="1" applyFont="1" applyBorder="1" applyAlignment="1">
      <alignment horizontal="left" vertical="center" wrapText="1"/>
    </xf>
    <xf numFmtId="49" fontId="34" fillId="0" borderId="42" xfId="0" applyNumberFormat="1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4" fontId="39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295275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0" y="0"/>
          <a:ext cx="1057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>
      <selection activeCell="L89" sqref="L8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204" t="s">
        <v>5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201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203" t="s">
        <v>453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R6" s="17"/>
      <c r="BS6" s="14" t="s">
        <v>15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18</v>
      </c>
    </row>
    <row r="8" spans="2:71" s="1" customFormat="1" ht="12" customHeight="1">
      <c r="B8" s="17"/>
      <c r="D8" s="23" t="s">
        <v>19</v>
      </c>
      <c r="K8" s="21" t="s">
        <v>20</v>
      </c>
      <c r="AK8" s="23" t="s">
        <v>21</v>
      </c>
      <c r="AN8" s="21"/>
      <c r="AR8" s="17"/>
      <c r="BS8" s="14" t="s">
        <v>22</v>
      </c>
    </row>
    <row r="9" spans="2:71" s="1" customFormat="1" ht="14.45" customHeight="1">
      <c r="B9" s="17"/>
      <c r="AR9" s="17"/>
      <c r="BS9" s="14" t="s">
        <v>23</v>
      </c>
    </row>
    <row r="10" spans="2:71" s="1" customFormat="1" ht="12" customHeight="1">
      <c r="B10" s="17"/>
      <c r="D10" s="23" t="s">
        <v>24</v>
      </c>
      <c r="AK10" s="23" t="s">
        <v>25</v>
      </c>
      <c r="AN10" s="21" t="s">
        <v>1</v>
      </c>
      <c r="AR10" s="17"/>
      <c r="BS10" s="14" t="s">
        <v>15</v>
      </c>
    </row>
    <row r="11" spans="2:71" s="1" customFormat="1" ht="18.4" customHeight="1">
      <c r="B11" s="17"/>
      <c r="E11" s="185" t="s">
        <v>452</v>
      </c>
      <c r="AK11" s="23" t="s">
        <v>26</v>
      </c>
      <c r="AN11" s="21" t="s">
        <v>1</v>
      </c>
      <c r="AR11" s="17"/>
      <c r="BS11" s="14" t="s">
        <v>15</v>
      </c>
    </row>
    <row r="12" spans="2:71" s="1" customFormat="1" ht="6.95" customHeight="1">
      <c r="B12" s="17"/>
      <c r="AR12" s="17"/>
      <c r="BS12" s="14" t="s">
        <v>15</v>
      </c>
    </row>
    <row r="13" spans="2:71" s="1" customFormat="1" ht="12" customHeight="1">
      <c r="B13" s="17"/>
      <c r="D13" s="23" t="s">
        <v>27</v>
      </c>
      <c r="AK13" s="23" t="s">
        <v>25</v>
      </c>
      <c r="AN13" s="21"/>
      <c r="AR13" s="17"/>
      <c r="BS13" s="14" t="s">
        <v>15</v>
      </c>
    </row>
    <row r="14" spans="2:71" ht="12.75">
      <c r="B14" s="17"/>
      <c r="E14" s="21"/>
      <c r="AK14" s="23" t="s">
        <v>26</v>
      </c>
      <c r="AN14" s="21"/>
      <c r="AR14" s="17"/>
      <c r="BS14" s="14" t="s">
        <v>15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28</v>
      </c>
      <c r="AK16" s="23" t="s">
        <v>25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20</v>
      </c>
      <c r="AK17" s="23" t="s">
        <v>26</v>
      </c>
      <c r="AN17" s="21" t="s">
        <v>1</v>
      </c>
      <c r="AR17" s="17"/>
      <c r="BS17" s="14" t="s">
        <v>29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30</v>
      </c>
      <c r="AK19" s="23" t="s">
        <v>25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20</v>
      </c>
      <c r="AK20" s="23" t="s">
        <v>26</v>
      </c>
      <c r="AN20" s="21" t="s">
        <v>1</v>
      </c>
      <c r="AR20" s="17"/>
      <c r="BS20" s="14" t="s">
        <v>29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31</v>
      </c>
      <c r="AR22" s="17"/>
    </row>
    <row r="23" spans="2:44" s="1" customFormat="1" ht="16.5" customHeight="1">
      <c r="B23" s="17"/>
      <c r="E23" s="205" t="s">
        <v>1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6">
        <f>ROUND(AG94,2)</f>
        <v>0</v>
      </c>
      <c r="AL26" s="207"/>
      <c r="AM26" s="207"/>
      <c r="AN26" s="207"/>
      <c r="AO26" s="207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0" t="s">
        <v>33</v>
      </c>
      <c r="M28" s="200"/>
      <c r="N28" s="200"/>
      <c r="O28" s="200"/>
      <c r="P28" s="200"/>
      <c r="Q28" s="26"/>
      <c r="R28" s="26"/>
      <c r="S28" s="26"/>
      <c r="T28" s="26"/>
      <c r="U28" s="26"/>
      <c r="V28" s="26"/>
      <c r="W28" s="200" t="s">
        <v>34</v>
      </c>
      <c r="X28" s="200"/>
      <c r="Y28" s="200"/>
      <c r="Z28" s="200"/>
      <c r="AA28" s="200"/>
      <c r="AB28" s="200"/>
      <c r="AC28" s="200"/>
      <c r="AD28" s="200"/>
      <c r="AE28" s="200"/>
      <c r="AF28" s="26"/>
      <c r="AG28" s="26"/>
      <c r="AH28" s="26"/>
      <c r="AI28" s="26"/>
      <c r="AJ28" s="26"/>
      <c r="AK28" s="200" t="s">
        <v>35</v>
      </c>
      <c r="AL28" s="200"/>
      <c r="AM28" s="200"/>
      <c r="AN28" s="200"/>
      <c r="AO28" s="200"/>
      <c r="AP28" s="26"/>
      <c r="AQ28" s="26"/>
      <c r="AR28" s="27"/>
      <c r="BE28" s="26"/>
    </row>
    <row r="29" spans="2:44" s="3" customFormat="1" ht="14.45" customHeight="1">
      <c r="B29" s="31"/>
      <c r="D29" s="23" t="s">
        <v>36</v>
      </c>
      <c r="F29" s="23" t="s">
        <v>37</v>
      </c>
      <c r="L29" s="199">
        <v>0.21</v>
      </c>
      <c r="M29" s="198"/>
      <c r="N29" s="198"/>
      <c r="O29" s="198"/>
      <c r="P29" s="198"/>
      <c r="W29" s="197">
        <f>ROUND(AZ94,2)</f>
        <v>0</v>
      </c>
      <c r="X29" s="198"/>
      <c r="Y29" s="198"/>
      <c r="Z29" s="198"/>
      <c r="AA29" s="198"/>
      <c r="AB29" s="198"/>
      <c r="AC29" s="198"/>
      <c r="AD29" s="198"/>
      <c r="AE29" s="198"/>
      <c r="AK29" s="197">
        <f>ROUND(AV94,2)</f>
        <v>0</v>
      </c>
      <c r="AL29" s="198"/>
      <c r="AM29" s="198"/>
      <c r="AN29" s="198"/>
      <c r="AO29" s="198"/>
      <c r="AR29" s="31"/>
    </row>
    <row r="30" spans="2:44" s="3" customFormat="1" ht="14.45" customHeight="1">
      <c r="B30" s="31"/>
      <c r="F30" s="23" t="s">
        <v>38</v>
      </c>
      <c r="L30" s="199">
        <v>0.15</v>
      </c>
      <c r="M30" s="198"/>
      <c r="N30" s="198"/>
      <c r="O30" s="198"/>
      <c r="P30" s="198"/>
      <c r="W30" s="197">
        <f>ROUND(BA94,2)</f>
        <v>0</v>
      </c>
      <c r="X30" s="198"/>
      <c r="Y30" s="198"/>
      <c r="Z30" s="198"/>
      <c r="AA30" s="198"/>
      <c r="AB30" s="198"/>
      <c r="AC30" s="198"/>
      <c r="AD30" s="198"/>
      <c r="AE30" s="198"/>
      <c r="AK30" s="197">
        <f>ROUND(AW94,2)</f>
        <v>0</v>
      </c>
      <c r="AL30" s="198"/>
      <c r="AM30" s="198"/>
      <c r="AN30" s="198"/>
      <c r="AO30" s="198"/>
      <c r="AR30" s="31"/>
    </row>
    <row r="31" spans="2:44" s="3" customFormat="1" ht="14.45" customHeight="1" hidden="1">
      <c r="B31" s="31"/>
      <c r="F31" s="23" t="s">
        <v>39</v>
      </c>
      <c r="L31" s="199">
        <v>0.21</v>
      </c>
      <c r="M31" s="198"/>
      <c r="N31" s="198"/>
      <c r="O31" s="198"/>
      <c r="P31" s="198"/>
      <c r="W31" s="197">
        <f>ROUND(BB94,2)</f>
        <v>0</v>
      </c>
      <c r="X31" s="198"/>
      <c r="Y31" s="198"/>
      <c r="Z31" s="198"/>
      <c r="AA31" s="198"/>
      <c r="AB31" s="198"/>
      <c r="AC31" s="198"/>
      <c r="AD31" s="198"/>
      <c r="AE31" s="198"/>
      <c r="AK31" s="197">
        <v>0</v>
      </c>
      <c r="AL31" s="198"/>
      <c r="AM31" s="198"/>
      <c r="AN31" s="198"/>
      <c r="AO31" s="198"/>
      <c r="AR31" s="31"/>
    </row>
    <row r="32" spans="2:44" s="3" customFormat="1" ht="14.45" customHeight="1" hidden="1">
      <c r="B32" s="31"/>
      <c r="F32" s="23" t="s">
        <v>40</v>
      </c>
      <c r="L32" s="199">
        <v>0.15</v>
      </c>
      <c r="M32" s="198"/>
      <c r="N32" s="198"/>
      <c r="O32" s="198"/>
      <c r="P32" s="198"/>
      <c r="W32" s="197">
        <f>ROUND(BC94,2)</f>
        <v>0</v>
      </c>
      <c r="X32" s="198"/>
      <c r="Y32" s="198"/>
      <c r="Z32" s="198"/>
      <c r="AA32" s="198"/>
      <c r="AB32" s="198"/>
      <c r="AC32" s="198"/>
      <c r="AD32" s="198"/>
      <c r="AE32" s="198"/>
      <c r="AK32" s="197">
        <v>0</v>
      </c>
      <c r="AL32" s="198"/>
      <c r="AM32" s="198"/>
      <c r="AN32" s="198"/>
      <c r="AO32" s="198"/>
      <c r="AR32" s="31"/>
    </row>
    <row r="33" spans="2:44" s="3" customFormat="1" ht="14.45" customHeight="1" hidden="1">
      <c r="B33" s="31"/>
      <c r="F33" s="23" t="s">
        <v>41</v>
      </c>
      <c r="L33" s="199">
        <v>0</v>
      </c>
      <c r="M33" s="198"/>
      <c r="N33" s="198"/>
      <c r="O33" s="198"/>
      <c r="P33" s="198"/>
      <c r="W33" s="197">
        <f>ROUND(BD94,2)</f>
        <v>0</v>
      </c>
      <c r="X33" s="198"/>
      <c r="Y33" s="198"/>
      <c r="Z33" s="198"/>
      <c r="AA33" s="198"/>
      <c r="AB33" s="198"/>
      <c r="AC33" s="198"/>
      <c r="AD33" s="198"/>
      <c r="AE33" s="198"/>
      <c r="AK33" s="197">
        <v>0</v>
      </c>
      <c r="AL33" s="198"/>
      <c r="AM33" s="198"/>
      <c r="AN33" s="198"/>
      <c r="AO33" s="198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193" t="s">
        <v>44</v>
      </c>
      <c r="Y35" s="194"/>
      <c r="Z35" s="194"/>
      <c r="AA35" s="194"/>
      <c r="AB35" s="194"/>
      <c r="AC35" s="34"/>
      <c r="AD35" s="34"/>
      <c r="AE35" s="34"/>
      <c r="AF35" s="34"/>
      <c r="AG35" s="34"/>
      <c r="AH35" s="34"/>
      <c r="AI35" s="34"/>
      <c r="AJ35" s="34"/>
      <c r="AK35" s="195">
        <f>SUM(AK26:AK33)</f>
        <v>0</v>
      </c>
      <c r="AL35" s="194"/>
      <c r="AM35" s="194"/>
      <c r="AN35" s="194"/>
      <c r="AO35" s="196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47</v>
      </c>
      <c r="AI60" s="29"/>
      <c r="AJ60" s="29"/>
      <c r="AK60" s="29"/>
      <c r="AL60" s="29"/>
      <c r="AM60" s="39" t="s">
        <v>48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49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50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47</v>
      </c>
      <c r="AI75" s="29"/>
      <c r="AJ75" s="29"/>
      <c r="AK75" s="29"/>
      <c r="AL75" s="29"/>
      <c r="AM75" s="39" t="s">
        <v>48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AR84" s="45"/>
    </row>
    <row r="85" spans="2:44" s="5" customFormat="1" ht="36.95" customHeight="1">
      <c r="B85" s="46"/>
      <c r="C85" s="47" t="s">
        <v>14</v>
      </c>
      <c r="L85" s="218" t="str">
        <f>K6</f>
        <v>Oprava elektroinstalace objektu F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19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21</v>
      </c>
      <c r="AJ87" s="26"/>
      <c r="AK87" s="26"/>
      <c r="AL87" s="26"/>
      <c r="AM87" s="220"/>
      <c r="AN87" s="220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24</v>
      </c>
      <c r="D89" s="26"/>
      <c r="E89" s="26"/>
      <c r="F89" s="26"/>
      <c r="G89" s="26"/>
      <c r="H89" s="26"/>
      <c r="I89" s="26"/>
      <c r="J89" s="26"/>
      <c r="K89" s="26"/>
      <c r="L89" s="186" t="str">
        <f>IF(E11="","",E11)</f>
        <v>Střední odborná škola a Střední odborné učiliště Vyškov, příspěvková organizace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28</v>
      </c>
      <c r="AJ89" s="26"/>
      <c r="AK89" s="26"/>
      <c r="AL89" s="26"/>
      <c r="AM89" s="221" t="str">
        <f>IF(E17="","",E17)</f>
        <v xml:space="preserve"> </v>
      </c>
      <c r="AN89" s="222"/>
      <c r="AO89" s="222"/>
      <c r="AP89" s="222"/>
      <c r="AQ89" s="26"/>
      <c r="AR89" s="27"/>
      <c r="AS89" s="223" t="s">
        <v>52</v>
      </c>
      <c r="AT89" s="224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221" t="str">
        <f>IF(E20="","",E20)</f>
        <v xml:space="preserve"> </v>
      </c>
      <c r="AN90" s="222"/>
      <c r="AO90" s="222"/>
      <c r="AP90" s="222"/>
      <c r="AQ90" s="26"/>
      <c r="AR90" s="27"/>
      <c r="AS90" s="225"/>
      <c r="AT90" s="226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25"/>
      <c r="AT91" s="226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208" t="s">
        <v>53</v>
      </c>
      <c r="D92" s="209"/>
      <c r="E92" s="209"/>
      <c r="F92" s="209"/>
      <c r="G92" s="209"/>
      <c r="H92" s="54"/>
      <c r="I92" s="210" t="s">
        <v>54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1" t="s">
        <v>55</v>
      </c>
      <c r="AH92" s="209"/>
      <c r="AI92" s="209"/>
      <c r="AJ92" s="209"/>
      <c r="AK92" s="209"/>
      <c r="AL92" s="209"/>
      <c r="AM92" s="209"/>
      <c r="AN92" s="210" t="s">
        <v>56</v>
      </c>
      <c r="AO92" s="209"/>
      <c r="AP92" s="212"/>
      <c r="AQ92" s="55" t="s">
        <v>57</v>
      </c>
      <c r="AR92" s="27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6">
        <f>AG95+AG96</f>
        <v>0</v>
      </c>
      <c r="AH94" s="216"/>
      <c r="AI94" s="216"/>
      <c r="AJ94" s="216"/>
      <c r="AK94" s="216"/>
      <c r="AL94" s="216"/>
      <c r="AM94" s="216"/>
      <c r="AN94" s="217">
        <f>AN95+AN96</f>
        <v>0</v>
      </c>
      <c r="AO94" s="217"/>
      <c r="AP94" s="217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684.22924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71</v>
      </c>
      <c r="BT94" s="71" t="s">
        <v>72</v>
      </c>
      <c r="BU94" s="72" t="s">
        <v>73</v>
      </c>
      <c r="BV94" s="71" t="s">
        <v>74</v>
      </c>
      <c r="BW94" s="71" t="s">
        <v>4</v>
      </c>
      <c r="BX94" s="71" t="s">
        <v>75</v>
      </c>
      <c r="CL94" s="71" t="s">
        <v>1</v>
      </c>
    </row>
    <row r="95" spans="1:91" s="7" customFormat="1" ht="16.5" customHeight="1">
      <c r="A95" s="73" t="s">
        <v>76</v>
      </c>
      <c r="B95" s="74"/>
      <c r="C95" s="75"/>
      <c r="D95" s="215" t="s">
        <v>77</v>
      </c>
      <c r="E95" s="215"/>
      <c r="F95" s="215"/>
      <c r="G95" s="215"/>
      <c r="H95" s="215"/>
      <c r="I95" s="76"/>
      <c r="J95" s="215" t="s">
        <v>455</v>
      </c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3">
        <f>'9 - Stavební úpravy objektu F'!J30</f>
        <v>0</v>
      </c>
      <c r="AH95" s="214"/>
      <c r="AI95" s="214"/>
      <c r="AJ95" s="214"/>
      <c r="AK95" s="214"/>
      <c r="AL95" s="214"/>
      <c r="AM95" s="214"/>
      <c r="AN95" s="213">
        <f>SUM(AG95,AT95)</f>
        <v>0</v>
      </c>
      <c r="AO95" s="214"/>
      <c r="AP95" s="214"/>
      <c r="AQ95" s="77" t="s">
        <v>78</v>
      </c>
      <c r="AR95" s="74"/>
      <c r="AS95" s="78">
        <v>0</v>
      </c>
      <c r="AT95" s="79">
        <f>ROUND(SUM(AV95:AW95),2)</f>
        <v>0</v>
      </c>
      <c r="AU95" s="80">
        <f>'9 - Stavební úpravy objektu F'!P134</f>
        <v>684.22923556224</v>
      </c>
      <c r="AV95" s="79">
        <f>'9 - Stavební úpravy objektu F'!J33</f>
        <v>0</v>
      </c>
      <c r="AW95" s="79">
        <f>'9 - Stavební úpravy objektu F'!J34</f>
        <v>0</v>
      </c>
      <c r="AX95" s="79">
        <f>'9 - Stavební úpravy objektu F'!J35</f>
        <v>0</v>
      </c>
      <c r="AY95" s="79">
        <f>'9 - Stavební úpravy objektu F'!J36</f>
        <v>0</v>
      </c>
      <c r="AZ95" s="79">
        <f>'9 - Stavební úpravy objektu F'!F33</f>
        <v>0</v>
      </c>
      <c r="BA95" s="79">
        <f>'9 - Stavební úpravy objektu F'!F34</f>
        <v>0</v>
      </c>
      <c r="BB95" s="79">
        <f>'9 - Stavební úpravy objektu F'!F35</f>
        <v>0</v>
      </c>
      <c r="BC95" s="79">
        <f>'9 - Stavební úpravy objektu F'!F36</f>
        <v>0</v>
      </c>
      <c r="BD95" s="81">
        <f>'9 - Stavební úpravy objektu F'!F37</f>
        <v>0</v>
      </c>
      <c r="BT95" s="82" t="s">
        <v>18</v>
      </c>
      <c r="BV95" s="82" t="s">
        <v>74</v>
      </c>
      <c r="BW95" s="82" t="s">
        <v>79</v>
      </c>
      <c r="BX95" s="82" t="s">
        <v>4</v>
      </c>
      <c r="CL95" s="82" t="s">
        <v>1</v>
      </c>
      <c r="CM95" s="82" t="s">
        <v>80</v>
      </c>
    </row>
    <row r="96" spans="1:57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52" t="s">
        <v>458</v>
      </c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53">
        <f>Elektroinstalace!J55</f>
        <v>0</v>
      </c>
      <c r="AH96" s="253"/>
      <c r="AI96" s="253"/>
      <c r="AJ96" s="253"/>
      <c r="AK96" s="253"/>
      <c r="AL96" s="253"/>
      <c r="AM96" s="253"/>
      <c r="AN96" s="213">
        <f>AG96*1.21</f>
        <v>0</v>
      </c>
      <c r="AO96" s="214"/>
      <c r="AP96" s="214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2">
    <mergeCell ref="AN96:AP96"/>
    <mergeCell ref="AG96:AM96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9 - Stavební úpravy obje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6"/>
  <sheetViews>
    <sheetView showGridLines="0" workbookViewId="0" topLeftCell="A188">
      <selection activeCell="I181" sqref="I18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hidden="1" customWidth="1"/>
    <col min="13" max="13" width="10.8515625" style="1" hidden="1" customWidth="1"/>
    <col min="14" max="14" width="9.140625" style="1" hidden="1" customWidth="1"/>
    <col min="15" max="20" width="14.140625" style="1" hidden="1" customWidth="1"/>
    <col min="21" max="21" width="16.28125" style="1" hidden="1" customWidth="1"/>
    <col min="22" max="22" width="12.28125" style="1" hidden="1" customWidth="1"/>
    <col min="23" max="23" width="16.28125" style="1" hidden="1" customWidth="1"/>
    <col min="24" max="24" width="12.28125" style="1" hidden="1" customWidth="1"/>
    <col min="25" max="25" width="15.00390625" style="1" hidden="1" customWidth="1"/>
    <col min="26" max="26" width="11.00390625" style="1" hidden="1" customWidth="1"/>
    <col min="27" max="27" width="15.00390625" style="1" hidden="1" customWidth="1"/>
    <col min="28" max="28" width="16.28125" style="1" hidden="1" customWidth="1"/>
    <col min="29" max="29" width="11.00390625" style="1" hidden="1" customWidth="1"/>
    <col min="30" max="30" width="15.00390625" style="1" hidden="1" customWidth="1"/>
    <col min="31" max="31" width="16.28125" style="1" hidden="1" customWidth="1"/>
    <col min="32" max="43" width="9.140625" style="0" hidden="1" customWidth="1"/>
    <col min="44" max="65" width="9.140625" style="1" hidden="1" customWidth="1"/>
    <col min="66" max="74" width="9.140625" style="0" hidden="1" customWidth="1"/>
  </cols>
  <sheetData>
    <row r="1" ht="12">
      <c r="A1" s="83"/>
    </row>
    <row r="2" spans="12:46" s="1" customFormat="1" ht="36.95" customHeight="1">
      <c r="L2" s="204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79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2:46" s="1" customFormat="1" ht="24.95" customHeight="1">
      <c r="B4" s="17"/>
      <c r="D4" s="18" t="s">
        <v>81</v>
      </c>
      <c r="L4" s="17"/>
      <c r="M4" s="84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29" t="str">
        <f>'Rekapitulace stavby'!K6</f>
        <v>Oprava elektroinstalace objektu F</v>
      </c>
      <c r="F7" s="230"/>
      <c r="G7" s="230"/>
      <c r="H7" s="230"/>
      <c r="L7" s="17"/>
    </row>
    <row r="8" spans="1:31" s="2" customFormat="1" ht="12" customHeight="1">
      <c r="A8" s="26"/>
      <c r="B8" s="27"/>
      <c r="C8" s="26"/>
      <c r="D8" s="23" t="s">
        <v>82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218" t="s">
        <v>454</v>
      </c>
      <c r="F9" s="231"/>
      <c r="G9" s="231"/>
      <c r="H9" s="23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19</v>
      </c>
      <c r="E12" s="26"/>
      <c r="F12" s="21" t="s">
        <v>20</v>
      </c>
      <c r="G12" s="26"/>
      <c r="H12" s="26"/>
      <c r="I12" s="23" t="s">
        <v>21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24</v>
      </c>
      <c r="E14" s="26"/>
      <c r="F14" s="26"/>
      <c r="G14" s="26"/>
      <c r="H14" s="26"/>
      <c r="I14" s="23" t="s">
        <v>25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185" t="s">
        <v>452</v>
      </c>
      <c r="F15" s="26"/>
      <c r="G15" s="26"/>
      <c r="H15" s="26"/>
      <c r="I15" s="23" t="s">
        <v>26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27</v>
      </c>
      <c r="E17" s="26"/>
      <c r="F17" s="26"/>
      <c r="G17" s="26"/>
      <c r="H17" s="26"/>
      <c r="I17" s="23" t="s">
        <v>25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/>
      <c r="F18" s="26"/>
      <c r="G18" s="26"/>
      <c r="H18" s="26"/>
      <c r="I18" s="23" t="s">
        <v>26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25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26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25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26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205" t="s">
        <v>1</v>
      </c>
      <c r="F27" s="205"/>
      <c r="G27" s="205"/>
      <c r="H27" s="205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32</v>
      </c>
      <c r="E30" s="26"/>
      <c r="F30" s="26"/>
      <c r="G30" s="26"/>
      <c r="H30" s="26"/>
      <c r="I30" s="26"/>
      <c r="J30" s="65">
        <f>ROUND(J134,2)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36</v>
      </c>
      <c r="E33" s="23" t="s">
        <v>37</v>
      </c>
      <c r="F33" s="90">
        <f>ROUND((SUM(BE134:BE194)),2)</f>
        <v>0</v>
      </c>
      <c r="G33" s="26"/>
      <c r="H33" s="26"/>
      <c r="I33" s="91">
        <v>0.21</v>
      </c>
      <c r="J33" s="90">
        <f>ROUND(((SUM(BE134:BE194))*I33),2)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38</v>
      </c>
      <c r="F34" s="90">
        <f>ROUND((SUM(BF134:BF194)),2)</f>
        <v>0</v>
      </c>
      <c r="G34" s="26"/>
      <c r="H34" s="26"/>
      <c r="I34" s="91">
        <v>0.15</v>
      </c>
      <c r="J34" s="90">
        <f>ROUND(((SUM(BF134:BF194))*I34),2)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39</v>
      </c>
      <c r="F35" s="90">
        <f>ROUND((SUM(BG134:BG194)),2)</f>
        <v>0</v>
      </c>
      <c r="G35" s="26"/>
      <c r="H35" s="26"/>
      <c r="I35" s="91">
        <v>0.21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40</v>
      </c>
      <c r="F36" s="90">
        <f>ROUND((SUM(BH134:BH194)),2)</f>
        <v>0</v>
      </c>
      <c r="G36" s="26"/>
      <c r="H36" s="26"/>
      <c r="I36" s="91">
        <v>0.15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41</v>
      </c>
      <c r="F37" s="90">
        <f>ROUND((SUM(BI134:BI194)),2)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42</v>
      </c>
      <c r="E39" s="54"/>
      <c r="F39" s="54"/>
      <c r="G39" s="94" t="s">
        <v>43</v>
      </c>
      <c r="H39" s="95" t="s">
        <v>44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47</v>
      </c>
      <c r="E61" s="29"/>
      <c r="F61" s="98" t="s">
        <v>48</v>
      </c>
      <c r="G61" s="39" t="s">
        <v>47</v>
      </c>
      <c r="H61" s="29"/>
      <c r="I61" s="29"/>
      <c r="J61" s="99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47</v>
      </c>
      <c r="E76" s="29"/>
      <c r="F76" s="98" t="s">
        <v>48</v>
      </c>
      <c r="G76" s="39" t="s">
        <v>47</v>
      </c>
      <c r="H76" s="29"/>
      <c r="I76" s="29"/>
      <c r="J76" s="99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83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9" t="str">
        <f>E7</f>
        <v>Oprava elektroinstalace objektu F</v>
      </c>
      <c r="F85" s="230"/>
      <c r="G85" s="230"/>
      <c r="H85" s="230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82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218" t="str">
        <f>E9</f>
        <v>9 - Stavební úpravy objektu F</v>
      </c>
      <c r="F87" s="231"/>
      <c r="G87" s="231"/>
      <c r="H87" s="23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19</v>
      </c>
      <c r="D89" s="26"/>
      <c r="E89" s="26"/>
      <c r="F89" s="21" t="str">
        <f>F12</f>
        <v xml:space="preserve"> </v>
      </c>
      <c r="G89" s="26"/>
      <c r="H89" s="26"/>
      <c r="I89" s="23" t="s">
        <v>21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24</v>
      </c>
      <c r="D91" s="26"/>
      <c r="E91" s="26"/>
      <c r="F91" s="21" t="str">
        <f>E15</f>
        <v>Střední odborná škola a Střední odborné učiliště Vyškov, příspěvková organizace</v>
      </c>
      <c r="G91" s="26"/>
      <c r="H91" s="26"/>
      <c r="I91" s="23" t="s">
        <v>28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27</v>
      </c>
      <c r="D92" s="26"/>
      <c r="E92" s="26"/>
      <c r="F92" s="21" t="str">
        <f>IF(E18="","",E18)</f>
        <v/>
      </c>
      <c r="G92" s="26"/>
      <c r="H92" s="26"/>
      <c r="I92" s="23" t="s">
        <v>30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0" t="s">
        <v>84</v>
      </c>
      <c r="D94" s="92"/>
      <c r="E94" s="92"/>
      <c r="F94" s="92"/>
      <c r="G94" s="92"/>
      <c r="H94" s="92"/>
      <c r="I94" s="92"/>
      <c r="J94" s="101" t="s">
        <v>85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86</v>
      </c>
      <c r="D96" s="26"/>
      <c r="E96" s="26"/>
      <c r="F96" s="26"/>
      <c r="G96" s="26"/>
      <c r="H96" s="26"/>
      <c r="I96" s="26"/>
      <c r="J96" s="65">
        <f>J134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87</v>
      </c>
    </row>
    <row r="97" spans="2:12" s="9" customFormat="1" ht="24.95" customHeight="1">
      <c r="B97" s="103"/>
      <c r="D97" s="104" t="s">
        <v>88</v>
      </c>
      <c r="E97" s="105"/>
      <c r="F97" s="105"/>
      <c r="G97" s="105"/>
      <c r="H97" s="105"/>
      <c r="I97" s="105"/>
      <c r="J97" s="106">
        <f>J135</f>
        <v>0</v>
      </c>
      <c r="L97" s="103"/>
    </row>
    <row r="98" spans="2:12" s="10" customFormat="1" ht="19.9" customHeight="1">
      <c r="B98" s="107"/>
      <c r="D98" s="108" t="s">
        <v>89</v>
      </c>
      <c r="E98" s="109"/>
      <c r="F98" s="109"/>
      <c r="G98" s="109"/>
      <c r="H98" s="109"/>
      <c r="I98" s="109"/>
      <c r="J98" s="110">
        <f>J136</f>
        <v>0</v>
      </c>
      <c r="L98" s="107"/>
    </row>
    <row r="99" spans="2:12" s="10" customFormat="1" ht="19.9" customHeight="1">
      <c r="B99" s="107"/>
      <c r="D99" s="108" t="s">
        <v>90</v>
      </c>
      <c r="E99" s="109"/>
      <c r="F99" s="109"/>
      <c r="G99" s="109"/>
      <c r="H99" s="109"/>
      <c r="I99" s="109"/>
      <c r="J99" s="110">
        <f>J138</f>
        <v>0</v>
      </c>
      <c r="L99" s="107"/>
    </row>
    <row r="100" spans="2:12" s="10" customFormat="1" ht="19.9" customHeight="1">
      <c r="B100" s="107"/>
      <c r="D100" s="108" t="s">
        <v>91</v>
      </c>
      <c r="E100" s="109"/>
      <c r="F100" s="109"/>
      <c r="G100" s="109"/>
      <c r="H100" s="109"/>
      <c r="I100" s="109"/>
      <c r="J100" s="110">
        <f>J146</f>
        <v>0</v>
      </c>
      <c r="L100" s="107"/>
    </row>
    <row r="101" spans="2:12" s="10" customFormat="1" ht="19.9" customHeight="1">
      <c r="B101" s="107"/>
      <c r="D101" s="108" t="s">
        <v>92</v>
      </c>
      <c r="E101" s="109"/>
      <c r="F101" s="109"/>
      <c r="G101" s="109"/>
      <c r="H101" s="109"/>
      <c r="I101" s="109"/>
      <c r="J101" s="110">
        <f>J153</f>
        <v>0</v>
      </c>
      <c r="L101" s="107"/>
    </row>
    <row r="102" spans="2:12" s="10" customFormat="1" ht="19.9" customHeight="1">
      <c r="B102" s="107"/>
      <c r="D102" s="108" t="s">
        <v>93</v>
      </c>
      <c r="E102" s="109"/>
      <c r="F102" s="109"/>
      <c r="G102" s="109"/>
      <c r="H102" s="109"/>
      <c r="I102" s="109"/>
      <c r="J102" s="110">
        <f>J159</f>
        <v>0</v>
      </c>
      <c r="L102" s="107"/>
    </row>
    <row r="103" spans="2:12" s="9" customFormat="1" ht="24.95" customHeight="1">
      <c r="B103" s="103"/>
      <c r="D103" s="104" t="s">
        <v>94</v>
      </c>
      <c r="E103" s="105"/>
      <c r="F103" s="105"/>
      <c r="G103" s="105"/>
      <c r="H103" s="105"/>
      <c r="I103" s="105"/>
      <c r="J103" s="106">
        <f>J161</f>
        <v>0</v>
      </c>
      <c r="L103" s="103"/>
    </row>
    <row r="104" spans="2:12" s="10" customFormat="1" ht="19.9" customHeight="1">
      <c r="B104" s="107"/>
      <c r="D104" s="108" t="s">
        <v>95</v>
      </c>
      <c r="E104" s="109"/>
      <c r="F104" s="109"/>
      <c r="G104" s="109"/>
      <c r="H104" s="109"/>
      <c r="I104" s="109"/>
      <c r="J104" s="110">
        <f>J162</f>
        <v>0</v>
      </c>
      <c r="L104" s="107"/>
    </row>
    <row r="105" spans="2:12" s="10" customFormat="1" ht="19.9" customHeight="1">
      <c r="B105" s="107"/>
      <c r="D105" s="108" t="s">
        <v>96</v>
      </c>
      <c r="E105" s="109"/>
      <c r="F105" s="109"/>
      <c r="G105" s="109"/>
      <c r="H105" s="109"/>
      <c r="I105" s="109"/>
      <c r="J105" s="110">
        <f>J164</f>
        <v>0</v>
      </c>
      <c r="L105" s="107"/>
    </row>
    <row r="106" spans="2:12" s="10" customFormat="1" ht="19.9" customHeight="1">
      <c r="B106" s="107"/>
      <c r="D106" s="108" t="s">
        <v>97</v>
      </c>
      <c r="E106" s="109"/>
      <c r="F106" s="109"/>
      <c r="G106" s="109"/>
      <c r="H106" s="109"/>
      <c r="I106" s="109"/>
      <c r="J106" s="110">
        <f>J166</f>
        <v>0</v>
      </c>
      <c r="L106" s="107"/>
    </row>
    <row r="107" spans="2:12" s="10" customFormat="1" ht="19.9" customHeight="1">
      <c r="B107" s="107"/>
      <c r="D107" s="108" t="s">
        <v>98</v>
      </c>
      <c r="E107" s="109"/>
      <c r="F107" s="109"/>
      <c r="G107" s="109"/>
      <c r="H107" s="109"/>
      <c r="I107" s="109"/>
      <c r="J107" s="110">
        <f>J171</f>
        <v>0</v>
      </c>
      <c r="L107" s="107"/>
    </row>
    <row r="108" spans="2:12" s="10" customFormat="1" ht="19.9" customHeight="1">
      <c r="B108" s="107"/>
      <c r="D108" s="108" t="s">
        <v>99</v>
      </c>
      <c r="E108" s="109"/>
      <c r="F108" s="109"/>
      <c r="G108" s="109"/>
      <c r="H108" s="109"/>
      <c r="I108" s="109"/>
      <c r="J108" s="110">
        <f>J180</f>
        <v>0</v>
      </c>
      <c r="L108" s="107"/>
    </row>
    <row r="109" spans="2:12" s="10" customFormat="1" ht="19.9" customHeight="1">
      <c r="B109" s="107"/>
      <c r="D109" s="108" t="s">
        <v>100</v>
      </c>
      <c r="E109" s="109"/>
      <c r="F109" s="109"/>
      <c r="G109" s="109"/>
      <c r="H109" s="109"/>
      <c r="I109" s="109"/>
      <c r="J109" s="110">
        <f>J182</f>
        <v>0</v>
      </c>
      <c r="L109" s="107"/>
    </row>
    <row r="110" spans="2:12" s="9" customFormat="1" ht="24.95" customHeight="1">
      <c r="B110" s="103"/>
      <c r="D110" s="104" t="s">
        <v>101</v>
      </c>
      <c r="E110" s="105"/>
      <c r="F110" s="105"/>
      <c r="G110" s="105"/>
      <c r="H110" s="105"/>
      <c r="I110" s="105"/>
      <c r="J110" s="106">
        <f>J186</f>
        <v>0</v>
      </c>
      <c r="L110" s="103"/>
    </row>
    <row r="111" spans="2:12" s="10" customFormat="1" ht="19.9" customHeight="1">
      <c r="B111" s="107"/>
      <c r="D111" s="108" t="s">
        <v>102</v>
      </c>
      <c r="E111" s="109"/>
      <c r="F111" s="109"/>
      <c r="G111" s="109"/>
      <c r="H111" s="109"/>
      <c r="I111" s="109"/>
      <c r="J111" s="110">
        <f>J187</f>
        <v>0</v>
      </c>
      <c r="L111" s="107"/>
    </row>
    <row r="112" spans="2:12" s="10" customFormat="1" ht="19.9" customHeight="1">
      <c r="B112" s="107"/>
      <c r="D112" s="108" t="s">
        <v>103</v>
      </c>
      <c r="E112" s="109"/>
      <c r="F112" s="109"/>
      <c r="G112" s="109"/>
      <c r="H112" s="109"/>
      <c r="I112" s="109"/>
      <c r="J112" s="110">
        <f>J189</f>
        <v>0</v>
      </c>
      <c r="L112" s="107"/>
    </row>
    <row r="113" spans="2:12" s="10" customFormat="1" ht="19.9" customHeight="1">
      <c r="B113" s="107"/>
      <c r="D113" s="108" t="s">
        <v>104</v>
      </c>
      <c r="E113" s="109"/>
      <c r="F113" s="109"/>
      <c r="G113" s="109"/>
      <c r="H113" s="109"/>
      <c r="I113" s="109"/>
      <c r="J113" s="110">
        <f>J191</f>
        <v>0</v>
      </c>
      <c r="L113" s="107"/>
    </row>
    <row r="114" spans="2:12" s="10" customFormat="1" ht="19.9" customHeight="1">
      <c r="B114" s="107"/>
      <c r="D114" s="108" t="s">
        <v>105</v>
      </c>
      <c r="E114" s="109"/>
      <c r="F114" s="109"/>
      <c r="G114" s="109"/>
      <c r="H114" s="109"/>
      <c r="I114" s="109"/>
      <c r="J114" s="110">
        <f>J193</f>
        <v>0</v>
      </c>
      <c r="L114" s="107"/>
    </row>
    <row r="115" spans="1:31" s="2" customFormat="1" ht="21.7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26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20" spans="1:31" s="2" customFormat="1" ht="6.95" customHeight="1">
      <c r="A120" s="26"/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24.95" customHeight="1">
      <c r="A121" s="26"/>
      <c r="B121" s="27"/>
      <c r="C121" s="18" t="s">
        <v>106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14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6.5" customHeight="1">
      <c r="A124" s="26"/>
      <c r="B124" s="27"/>
      <c r="C124" s="26"/>
      <c r="D124" s="26"/>
      <c r="E124" s="229" t="str">
        <f>E7</f>
        <v>Oprava elektroinstalace objektu F</v>
      </c>
      <c r="F124" s="230"/>
      <c r="G124" s="230"/>
      <c r="H124" s="230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82</v>
      </c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6.5" customHeight="1">
      <c r="A126" s="26"/>
      <c r="B126" s="27"/>
      <c r="C126" s="26"/>
      <c r="D126" s="26"/>
      <c r="E126" s="218" t="str">
        <f>E9</f>
        <v>9 - Stavební úpravy objektu F</v>
      </c>
      <c r="F126" s="231"/>
      <c r="G126" s="231"/>
      <c r="H126" s="231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19</v>
      </c>
      <c r="D128" s="26"/>
      <c r="E128" s="26"/>
      <c r="F128" s="21" t="str">
        <f>F12</f>
        <v xml:space="preserve"> </v>
      </c>
      <c r="G128" s="26"/>
      <c r="H128" s="26"/>
      <c r="I128" s="23" t="s">
        <v>21</v>
      </c>
      <c r="J128" s="49" t="str">
        <f>IF(J12="","",J12)</f>
        <v/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" customFormat="1" ht="6.9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2" customFormat="1" ht="15.2" customHeight="1">
      <c r="A130" s="26"/>
      <c r="B130" s="27"/>
      <c r="C130" s="23" t="s">
        <v>24</v>
      </c>
      <c r="D130" s="26"/>
      <c r="E130" s="26"/>
      <c r="F130" s="21" t="str">
        <f>E15</f>
        <v>Střední odborná škola a Střední odborné učiliště Vyškov, příspěvková organizace</v>
      </c>
      <c r="G130" s="26"/>
      <c r="H130" s="26"/>
      <c r="I130" s="23" t="s">
        <v>28</v>
      </c>
      <c r="J130" s="24" t="str">
        <f>E21</f>
        <v xml:space="preserve"> </v>
      </c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" customFormat="1" ht="15.2" customHeight="1">
      <c r="A131" s="26"/>
      <c r="B131" s="27"/>
      <c r="C131" s="23" t="s">
        <v>27</v>
      </c>
      <c r="D131" s="26"/>
      <c r="E131" s="26"/>
      <c r="F131" s="21" t="str">
        <f>IF(E18="","",E18)</f>
        <v/>
      </c>
      <c r="G131" s="26"/>
      <c r="H131" s="26"/>
      <c r="I131" s="23" t="s">
        <v>30</v>
      </c>
      <c r="J131" s="24" t="str">
        <f>E24</f>
        <v xml:space="preserve"> 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10.3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11" customFormat="1" ht="29.25" customHeight="1">
      <c r="A133" s="111"/>
      <c r="B133" s="112"/>
      <c r="C133" s="113" t="s">
        <v>107</v>
      </c>
      <c r="D133" s="114" t="s">
        <v>57</v>
      </c>
      <c r="E133" s="114" t="s">
        <v>53</v>
      </c>
      <c r="F133" s="114" t="s">
        <v>54</v>
      </c>
      <c r="G133" s="114" t="s">
        <v>108</v>
      </c>
      <c r="H133" s="114" t="s">
        <v>109</v>
      </c>
      <c r="I133" s="114" t="s">
        <v>110</v>
      </c>
      <c r="J133" s="115" t="s">
        <v>85</v>
      </c>
      <c r="K133" s="116" t="s">
        <v>111</v>
      </c>
      <c r="L133" s="117"/>
      <c r="M133" s="56" t="s">
        <v>1</v>
      </c>
      <c r="N133" s="57" t="s">
        <v>36</v>
      </c>
      <c r="O133" s="57" t="s">
        <v>112</v>
      </c>
      <c r="P133" s="57" t="s">
        <v>113</v>
      </c>
      <c r="Q133" s="57" t="s">
        <v>114</v>
      </c>
      <c r="R133" s="57" t="s">
        <v>115</v>
      </c>
      <c r="S133" s="57" t="s">
        <v>116</v>
      </c>
      <c r="T133" s="58" t="s">
        <v>117</v>
      </c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</row>
    <row r="134" spans="1:63" s="2" customFormat="1" ht="22.9" customHeight="1">
      <c r="A134" s="26"/>
      <c r="B134" s="27"/>
      <c r="C134" s="63" t="s">
        <v>118</v>
      </c>
      <c r="D134" s="26"/>
      <c r="E134" s="26"/>
      <c r="F134" s="26"/>
      <c r="G134" s="26"/>
      <c r="H134" s="26"/>
      <c r="I134" s="26"/>
      <c r="J134" s="118">
        <f>BK134</f>
        <v>0</v>
      </c>
      <c r="K134" s="26"/>
      <c r="L134" s="27"/>
      <c r="M134" s="59"/>
      <c r="N134" s="50"/>
      <c r="O134" s="60"/>
      <c r="P134" s="119">
        <f>P135+P161+P186</f>
        <v>684.22923556224</v>
      </c>
      <c r="Q134" s="60"/>
      <c r="R134" s="119">
        <f>R135+R161+R186</f>
        <v>11.963005541199998</v>
      </c>
      <c r="S134" s="60"/>
      <c r="T134" s="120">
        <f>T135+T161+T186</f>
        <v>13.941718000000002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T134" s="14" t="s">
        <v>71</v>
      </c>
      <c r="AU134" s="14" t="s">
        <v>87</v>
      </c>
      <c r="BK134" s="121">
        <f>BK135+BK161+BK186</f>
        <v>0</v>
      </c>
    </row>
    <row r="135" spans="2:63" s="12" customFormat="1" ht="25.9" customHeight="1">
      <c r="B135" s="122"/>
      <c r="D135" s="123" t="s">
        <v>71</v>
      </c>
      <c r="E135" s="124" t="s">
        <v>119</v>
      </c>
      <c r="F135" s="124" t="s">
        <v>120</v>
      </c>
      <c r="J135" s="125">
        <f>BK135</f>
        <v>0</v>
      </c>
      <c r="L135" s="122"/>
      <c r="M135" s="126"/>
      <c r="N135" s="127"/>
      <c r="O135" s="127"/>
      <c r="P135" s="128">
        <f>P136+P138+P146+P153+P159</f>
        <v>394.20678556224</v>
      </c>
      <c r="Q135" s="127"/>
      <c r="R135" s="128">
        <f>R136+R138+R146+R153+R159</f>
        <v>7.683687769999999</v>
      </c>
      <c r="S135" s="127"/>
      <c r="T135" s="129">
        <f>T136+T138+T146+T153+T159</f>
        <v>13.937440000000002</v>
      </c>
      <c r="AR135" s="123" t="s">
        <v>18</v>
      </c>
      <c r="AT135" s="130" t="s">
        <v>71</v>
      </c>
      <c r="AU135" s="130" t="s">
        <v>72</v>
      </c>
      <c r="AY135" s="123" t="s">
        <v>121</v>
      </c>
      <c r="BK135" s="131">
        <f>BK136+BK138+BK146+BK153+BK159</f>
        <v>0</v>
      </c>
    </row>
    <row r="136" spans="2:63" s="12" customFormat="1" ht="22.9" customHeight="1">
      <c r="B136" s="122"/>
      <c r="D136" s="123" t="s">
        <v>71</v>
      </c>
      <c r="E136" s="132" t="s">
        <v>122</v>
      </c>
      <c r="F136" s="132" t="s">
        <v>123</v>
      </c>
      <c r="J136" s="133">
        <f>BK136</f>
        <v>0</v>
      </c>
      <c r="L136" s="122"/>
      <c r="M136" s="126"/>
      <c r="N136" s="127"/>
      <c r="O136" s="127"/>
      <c r="P136" s="128">
        <f>P137</f>
        <v>45.600184</v>
      </c>
      <c r="Q136" s="127"/>
      <c r="R136" s="128">
        <f>R137</f>
        <v>3.05104744</v>
      </c>
      <c r="S136" s="127"/>
      <c r="T136" s="129">
        <f>T137</f>
        <v>0</v>
      </c>
      <c r="AR136" s="123" t="s">
        <v>18</v>
      </c>
      <c r="AT136" s="130" t="s">
        <v>71</v>
      </c>
      <c r="AU136" s="130" t="s">
        <v>18</v>
      </c>
      <c r="AY136" s="123" t="s">
        <v>121</v>
      </c>
      <c r="BK136" s="131">
        <f>BK137</f>
        <v>0</v>
      </c>
    </row>
    <row r="137" spans="1:65" s="2" customFormat="1" ht="16.5" customHeight="1">
      <c r="A137" s="26"/>
      <c r="B137" s="134"/>
      <c r="C137" s="135" t="s">
        <v>18</v>
      </c>
      <c r="D137" s="135" t="s">
        <v>124</v>
      </c>
      <c r="E137" s="136" t="s">
        <v>125</v>
      </c>
      <c r="F137" s="137" t="s">
        <v>126</v>
      </c>
      <c r="G137" s="138" t="s">
        <v>127</v>
      </c>
      <c r="H137" s="139">
        <v>106.792</v>
      </c>
      <c r="I137" s="140">
        <v>0</v>
      </c>
      <c r="J137" s="140">
        <f>ROUND(I137*H137,2)</f>
        <v>0</v>
      </c>
      <c r="K137" s="141"/>
      <c r="L137" s="27"/>
      <c r="M137" s="142" t="s">
        <v>1</v>
      </c>
      <c r="N137" s="143" t="s">
        <v>37</v>
      </c>
      <c r="O137" s="144">
        <v>0.427</v>
      </c>
      <c r="P137" s="144">
        <f>O137*H137</f>
        <v>45.600184</v>
      </c>
      <c r="Q137" s="144">
        <v>0.02857</v>
      </c>
      <c r="R137" s="144">
        <f>Q137*H137</f>
        <v>3.05104744</v>
      </c>
      <c r="S137" s="144">
        <v>0</v>
      </c>
      <c r="T137" s="14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6" t="s">
        <v>128</v>
      </c>
      <c r="AT137" s="146" t="s">
        <v>124</v>
      </c>
      <c r="AU137" s="146" t="s">
        <v>80</v>
      </c>
      <c r="AY137" s="14" t="s">
        <v>121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4" t="s">
        <v>18</v>
      </c>
      <c r="BK137" s="147">
        <f>ROUND(I137*H137,2)</f>
        <v>0</v>
      </c>
      <c r="BL137" s="14" t="s">
        <v>128</v>
      </c>
      <c r="BM137" s="146" t="s">
        <v>129</v>
      </c>
    </row>
    <row r="138" spans="2:63" s="12" customFormat="1" ht="22.9" customHeight="1">
      <c r="B138" s="122"/>
      <c r="D138" s="123" t="s">
        <v>71</v>
      </c>
      <c r="E138" s="132" t="s">
        <v>130</v>
      </c>
      <c r="F138" s="132" t="s">
        <v>131</v>
      </c>
      <c r="J138" s="133">
        <f>BK138</f>
        <v>0</v>
      </c>
      <c r="L138" s="122"/>
      <c r="M138" s="126"/>
      <c r="N138" s="127"/>
      <c r="O138" s="127"/>
      <c r="P138" s="128">
        <f>SUM(P139:P145)</f>
        <v>117.086226</v>
      </c>
      <c r="Q138" s="127"/>
      <c r="R138" s="128">
        <f>SUM(R139:R145)</f>
        <v>4.609433879999999</v>
      </c>
      <c r="S138" s="127"/>
      <c r="T138" s="129">
        <f>SUM(T139:T145)</f>
        <v>0</v>
      </c>
      <c r="AR138" s="123" t="s">
        <v>18</v>
      </c>
      <c r="AT138" s="130" t="s">
        <v>71</v>
      </c>
      <c r="AU138" s="130" t="s">
        <v>18</v>
      </c>
      <c r="AY138" s="123" t="s">
        <v>121</v>
      </c>
      <c r="BK138" s="131">
        <f>SUM(BK139:BK145)</f>
        <v>0</v>
      </c>
    </row>
    <row r="139" spans="1:65" s="2" customFormat="1" ht="24" customHeight="1">
      <c r="A139" s="26"/>
      <c r="B139" s="134"/>
      <c r="C139" s="135" t="s">
        <v>80</v>
      </c>
      <c r="D139" s="135" t="s">
        <v>124</v>
      </c>
      <c r="E139" s="136" t="s">
        <v>132</v>
      </c>
      <c r="F139" s="137" t="s">
        <v>133</v>
      </c>
      <c r="G139" s="138" t="s">
        <v>127</v>
      </c>
      <c r="H139" s="139">
        <v>106.792</v>
      </c>
      <c r="I139" s="140">
        <v>0</v>
      </c>
      <c r="J139" s="140">
        <f aca="true" t="shared" si="0" ref="J139:J145">ROUND(I139*H139,2)</f>
        <v>0</v>
      </c>
      <c r="K139" s="141"/>
      <c r="L139" s="27"/>
      <c r="M139" s="142" t="s">
        <v>1</v>
      </c>
      <c r="N139" s="143" t="s">
        <v>37</v>
      </c>
      <c r="O139" s="144">
        <v>0.39</v>
      </c>
      <c r="P139" s="144">
        <f aca="true" t="shared" si="1" ref="P139:P145">O139*H139</f>
        <v>41.648880000000005</v>
      </c>
      <c r="Q139" s="144">
        <v>0.0154</v>
      </c>
      <c r="R139" s="144">
        <f aca="true" t="shared" si="2" ref="R139:R145">Q139*H139</f>
        <v>1.6445968</v>
      </c>
      <c r="S139" s="144">
        <v>0</v>
      </c>
      <c r="T139" s="145">
        <f aca="true" t="shared" si="3" ref="T139:T145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6" t="s">
        <v>128</v>
      </c>
      <c r="AT139" s="146" t="s">
        <v>124</v>
      </c>
      <c r="AU139" s="146" t="s">
        <v>80</v>
      </c>
      <c r="AY139" s="14" t="s">
        <v>121</v>
      </c>
      <c r="BE139" s="147">
        <f aca="true" t="shared" si="4" ref="BE139:BE145">IF(N139="základní",J139,0)</f>
        <v>0</v>
      </c>
      <c r="BF139" s="147">
        <f aca="true" t="shared" si="5" ref="BF139:BF145">IF(N139="snížená",J139,0)</f>
        <v>0</v>
      </c>
      <c r="BG139" s="147">
        <f aca="true" t="shared" si="6" ref="BG139:BG145">IF(N139="zákl. přenesená",J139,0)</f>
        <v>0</v>
      </c>
      <c r="BH139" s="147">
        <f aca="true" t="shared" si="7" ref="BH139:BH145">IF(N139="sníž. přenesená",J139,0)</f>
        <v>0</v>
      </c>
      <c r="BI139" s="147">
        <f aca="true" t="shared" si="8" ref="BI139:BI145">IF(N139="nulová",J139,0)</f>
        <v>0</v>
      </c>
      <c r="BJ139" s="14" t="s">
        <v>18</v>
      </c>
      <c r="BK139" s="147">
        <f aca="true" t="shared" si="9" ref="BK139:BK145">ROUND(I139*H139,2)</f>
        <v>0</v>
      </c>
      <c r="BL139" s="14" t="s">
        <v>128</v>
      </c>
      <c r="BM139" s="146" t="s">
        <v>134</v>
      </c>
    </row>
    <row r="140" spans="1:65" s="2" customFormat="1" ht="24" customHeight="1">
      <c r="A140" s="26"/>
      <c r="B140" s="134"/>
      <c r="C140" s="135" t="s">
        <v>122</v>
      </c>
      <c r="D140" s="135" t="s">
        <v>124</v>
      </c>
      <c r="E140" s="136" t="s">
        <v>135</v>
      </c>
      <c r="F140" s="137" t="s">
        <v>136</v>
      </c>
      <c r="G140" s="138" t="s">
        <v>127</v>
      </c>
      <c r="H140" s="139">
        <v>101.46</v>
      </c>
      <c r="I140" s="140">
        <v>0</v>
      </c>
      <c r="J140" s="140">
        <f t="shared" si="0"/>
        <v>0</v>
      </c>
      <c r="K140" s="141"/>
      <c r="L140" s="27"/>
      <c r="M140" s="142" t="s">
        <v>1</v>
      </c>
      <c r="N140" s="143" t="s">
        <v>37</v>
      </c>
      <c r="O140" s="144">
        <v>0.47</v>
      </c>
      <c r="P140" s="144">
        <f t="shared" si="1"/>
        <v>47.68619999999999</v>
      </c>
      <c r="Q140" s="144">
        <v>0.01838</v>
      </c>
      <c r="R140" s="144">
        <f t="shared" si="2"/>
        <v>1.8648348</v>
      </c>
      <c r="S140" s="144">
        <v>0</v>
      </c>
      <c r="T140" s="14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6" t="s">
        <v>128</v>
      </c>
      <c r="AT140" s="146" t="s">
        <v>124</v>
      </c>
      <c r="AU140" s="146" t="s">
        <v>80</v>
      </c>
      <c r="AY140" s="14" t="s">
        <v>121</v>
      </c>
      <c r="BE140" s="147">
        <f t="shared" si="4"/>
        <v>0</v>
      </c>
      <c r="BF140" s="147">
        <f t="shared" si="5"/>
        <v>0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4" t="s">
        <v>18</v>
      </c>
      <c r="BK140" s="147">
        <f t="shared" si="9"/>
        <v>0</v>
      </c>
      <c r="BL140" s="14" t="s">
        <v>128</v>
      </c>
      <c r="BM140" s="146" t="s">
        <v>137</v>
      </c>
    </row>
    <row r="141" spans="1:65" s="2" customFormat="1" ht="16.5" customHeight="1">
      <c r="A141" s="26"/>
      <c r="B141" s="134"/>
      <c r="C141" s="135" t="s">
        <v>128</v>
      </c>
      <c r="D141" s="135" t="s">
        <v>124</v>
      </c>
      <c r="E141" s="136" t="s">
        <v>138</v>
      </c>
      <c r="F141" s="137" t="s">
        <v>449</v>
      </c>
      <c r="G141" s="138" t="s">
        <v>139</v>
      </c>
      <c r="H141" s="139">
        <v>1</v>
      </c>
      <c r="I141" s="140">
        <v>0</v>
      </c>
      <c r="J141" s="140">
        <f t="shared" si="0"/>
        <v>0</v>
      </c>
      <c r="K141" s="141"/>
      <c r="L141" s="27"/>
      <c r="M141" s="142" t="s">
        <v>1</v>
      </c>
      <c r="N141" s="143" t="s">
        <v>37</v>
      </c>
      <c r="O141" s="144">
        <v>1.023</v>
      </c>
      <c r="P141" s="144">
        <f t="shared" si="1"/>
        <v>1.023</v>
      </c>
      <c r="Q141" s="144">
        <v>0.0382</v>
      </c>
      <c r="R141" s="144">
        <f t="shared" si="2"/>
        <v>0.0382</v>
      </c>
      <c r="S141" s="144">
        <v>0</v>
      </c>
      <c r="T141" s="14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6" t="s">
        <v>128</v>
      </c>
      <c r="AT141" s="146" t="s">
        <v>124</v>
      </c>
      <c r="AU141" s="146" t="s">
        <v>80</v>
      </c>
      <c r="AY141" s="14" t="s">
        <v>121</v>
      </c>
      <c r="BE141" s="147">
        <f t="shared" si="4"/>
        <v>0</v>
      </c>
      <c r="BF141" s="147">
        <f t="shared" si="5"/>
        <v>0</v>
      </c>
      <c r="BG141" s="147">
        <f t="shared" si="6"/>
        <v>0</v>
      </c>
      <c r="BH141" s="147">
        <f t="shared" si="7"/>
        <v>0</v>
      </c>
      <c r="BI141" s="147">
        <f t="shared" si="8"/>
        <v>0</v>
      </c>
      <c r="BJ141" s="14" t="s">
        <v>18</v>
      </c>
      <c r="BK141" s="147">
        <f t="shared" si="9"/>
        <v>0</v>
      </c>
      <c r="BL141" s="14" t="s">
        <v>128</v>
      </c>
      <c r="BM141" s="146" t="s">
        <v>140</v>
      </c>
    </row>
    <row r="142" spans="1:65" s="2" customFormat="1" ht="24" customHeight="1">
      <c r="A142" s="26"/>
      <c r="B142" s="134"/>
      <c r="C142" s="135" t="s">
        <v>141</v>
      </c>
      <c r="D142" s="135" t="s">
        <v>124</v>
      </c>
      <c r="E142" s="136" t="s">
        <v>142</v>
      </c>
      <c r="F142" s="137" t="s">
        <v>143</v>
      </c>
      <c r="G142" s="138" t="s">
        <v>144</v>
      </c>
      <c r="H142" s="139">
        <v>43</v>
      </c>
      <c r="I142" s="140">
        <v>0</v>
      </c>
      <c r="J142" s="140">
        <f t="shared" si="0"/>
        <v>0</v>
      </c>
      <c r="K142" s="141"/>
      <c r="L142" s="27"/>
      <c r="M142" s="142" t="s">
        <v>1</v>
      </c>
      <c r="N142" s="143" t="s">
        <v>37</v>
      </c>
      <c r="O142" s="144">
        <v>0.37</v>
      </c>
      <c r="P142" s="144">
        <f t="shared" si="1"/>
        <v>15.91</v>
      </c>
      <c r="Q142" s="144">
        <v>0.0015</v>
      </c>
      <c r="R142" s="144">
        <f t="shared" si="2"/>
        <v>0.0645</v>
      </c>
      <c r="S142" s="144">
        <v>0</v>
      </c>
      <c r="T142" s="14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6" t="s">
        <v>128</v>
      </c>
      <c r="AT142" s="146" t="s">
        <v>124</v>
      </c>
      <c r="AU142" s="146" t="s">
        <v>80</v>
      </c>
      <c r="AY142" s="14" t="s">
        <v>121</v>
      </c>
      <c r="BE142" s="147">
        <f t="shared" si="4"/>
        <v>0</v>
      </c>
      <c r="BF142" s="147">
        <f t="shared" si="5"/>
        <v>0</v>
      </c>
      <c r="BG142" s="147">
        <f t="shared" si="6"/>
        <v>0</v>
      </c>
      <c r="BH142" s="147">
        <f t="shared" si="7"/>
        <v>0</v>
      </c>
      <c r="BI142" s="147">
        <f t="shared" si="8"/>
        <v>0</v>
      </c>
      <c r="BJ142" s="14" t="s">
        <v>18</v>
      </c>
      <c r="BK142" s="147">
        <f t="shared" si="9"/>
        <v>0</v>
      </c>
      <c r="BL142" s="14" t="s">
        <v>128</v>
      </c>
      <c r="BM142" s="146" t="s">
        <v>145</v>
      </c>
    </row>
    <row r="143" spans="1:65" s="2" customFormat="1" ht="16.5" customHeight="1">
      <c r="A143" s="26"/>
      <c r="B143" s="134"/>
      <c r="C143" s="135" t="s">
        <v>130</v>
      </c>
      <c r="D143" s="135" t="s">
        <v>124</v>
      </c>
      <c r="E143" s="136" t="s">
        <v>146</v>
      </c>
      <c r="F143" s="137" t="s">
        <v>147</v>
      </c>
      <c r="G143" s="138" t="s">
        <v>127</v>
      </c>
      <c r="H143" s="139">
        <v>216.7</v>
      </c>
      <c r="I143" s="140">
        <v>0</v>
      </c>
      <c r="J143" s="140">
        <f t="shared" si="0"/>
        <v>0</v>
      </c>
      <c r="K143" s="141"/>
      <c r="L143" s="27"/>
      <c r="M143" s="142" t="s">
        <v>1</v>
      </c>
      <c r="N143" s="143" t="s">
        <v>37</v>
      </c>
      <c r="O143" s="144">
        <v>0.02</v>
      </c>
      <c r="P143" s="144">
        <f t="shared" si="1"/>
        <v>4.334</v>
      </c>
      <c r="Q143" s="144">
        <v>0</v>
      </c>
      <c r="R143" s="144">
        <f t="shared" si="2"/>
        <v>0</v>
      </c>
      <c r="S143" s="144">
        <v>0</v>
      </c>
      <c r="T143" s="14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6" t="s">
        <v>128</v>
      </c>
      <c r="AT143" s="146" t="s">
        <v>124</v>
      </c>
      <c r="AU143" s="146" t="s">
        <v>80</v>
      </c>
      <c r="AY143" s="14" t="s">
        <v>121</v>
      </c>
      <c r="BE143" s="147">
        <f t="shared" si="4"/>
        <v>0</v>
      </c>
      <c r="BF143" s="147">
        <f t="shared" si="5"/>
        <v>0</v>
      </c>
      <c r="BG143" s="147">
        <f t="shared" si="6"/>
        <v>0</v>
      </c>
      <c r="BH143" s="147">
        <f t="shared" si="7"/>
        <v>0</v>
      </c>
      <c r="BI143" s="147">
        <f t="shared" si="8"/>
        <v>0</v>
      </c>
      <c r="BJ143" s="14" t="s">
        <v>18</v>
      </c>
      <c r="BK143" s="147">
        <f t="shared" si="9"/>
        <v>0</v>
      </c>
      <c r="BL143" s="14" t="s">
        <v>128</v>
      </c>
      <c r="BM143" s="146" t="s">
        <v>148</v>
      </c>
    </row>
    <row r="144" spans="1:65" s="2" customFormat="1" ht="24" customHeight="1">
      <c r="A144" s="26"/>
      <c r="B144" s="134"/>
      <c r="C144" s="135" t="s">
        <v>149</v>
      </c>
      <c r="D144" s="135" t="s">
        <v>124</v>
      </c>
      <c r="E144" s="136" t="s">
        <v>150</v>
      </c>
      <c r="F144" s="137" t="s">
        <v>151</v>
      </c>
      <c r="G144" s="138" t="s">
        <v>127</v>
      </c>
      <c r="H144" s="139">
        <v>84.4</v>
      </c>
      <c r="I144" s="140">
        <v>0</v>
      </c>
      <c r="J144" s="140">
        <f t="shared" si="0"/>
        <v>0</v>
      </c>
      <c r="K144" s="141"/>
      <c r="L144" s="27"/>
      <c r="M144" s="142" t="s">
        <v>1</v>
      </c>
      <c r="N144" s="143" t="s">
        <v>37</v>
      </c>
      <c r="O144" s="144">
        <v>0.06</v>
      </c>
      <c r="P144" s="144">
        <f t="shared" si="1"/>
        <v>5.064</v>
      </c>
      <c r="Q144" s="144">
        <v>0</v>
      </c>
      <c r="R144" s="144">
        <f t="shared" si="2"/>
        <v>0</v>
      </c>
      <c r="S144" s="144">
        <v>0</v>
      </c>
      <c r="T144" s="14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6" t="s">
        <v>128</v>
      </c>
      <c r="AT144" s="146" t="s">
        <v>124</v>
      </c>
      <c r="AU144" s="146" t="s">
        <v>80</v>
      </c>
      <c r="AY144" s="14" t="s">
        <v>121</v>
      </c>
      <c r="BE144" s="147">
        <f t="shared" si="4"/>
        <v>0</v>
      </c>
      <c r="BF144" s="147">
        <f t="shared" si="5"/>
        <v>0</v>
      </c>
      <c r="BG144" s="147">
        <f t="shared" si="6"/>
        <v>0</v>
      </c>
      <c r="BH144" s="147">
        <f t="shared" si="7"/>
        <v>0</v>
      </c>
      <c r="BI144" s="147">
        <f t="shared" si="8"/>
        <v>0</v>
      </c>
      <c r="BJ144" s="14" t="s">
        <v>18</v>
      </c>
      <c r="BK144" s="147">
        <f t="shared" si="9"/>
        <v>0</v>
      </c>
      <c r="BL144" s="14" t="s">
        <v>128</v>
      </c>
      <c r="BM144" s="146" t="s">
        <v>152</v>
      </c>
    </row>
    <row r="145" spans="1:65" s="2" customFormat="1" ht="36" customHeight="1">
      <c r="A145" s="26"/>
      <c r="B145" s="134"/>
      <c r="C145" s="135" t="s">
        <v>153</v>
      </c>
      <c r="D145" s="135" t="s">
        <v>124</v>
      </c>
      <c r="E145" s="136" t="s">
        <v>154</v>
      </c>
      <c r="F145" s="137" t="s">
        <v>155</v>
      </c>
      <c r="G145" s="138" t="s">
        <v>156</v>
      </c>
      <c r="H145" s="139">
        <v>0.442</v>
      </c>
      <c r="I145" s="140">
        <v>0</v>
      </c>
      <c r="J145" s="140">
        <f t="shared" si="0"/>
        <v>0</v>
      </c>
      <c r="K145" s="141"/>
      <c r="L145" s="27"/>
      <c r="M145" s="142" t="s">
        <v>1</v>
      </c>
      <c r="N145" s="143" t="s">
        <v>37</v>
      </c>
      <c r="O145" s="144">
        <v>3.213</v>
      </c>
      <c r="P145" s="144">
        <f t="shared" si="1"/>
        <v>1.4201460000000001</v>
      </c>
      <c r="Q145" s="144">
        <v>2.25634</v>
      </c>
      <c r="R145" s="144">
        <f t="shared" si="2"/>
        <v>0.9973022799999999</v>
      </c>
      <c r="S145" s="144">
        <v>0</v>
      </c>
      <c r="T145" s="14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6" t="s">
        <v>128</v>
      </c>
      <c r="AT145" s="146" t="s">
        <v>124</v>
      </c>
      <c r="AU145" s="146" t="s">
        <v>80</v>
      </c>
      <c r="AY145" s="14" t="s">
        <v>121</v>
      </c>
      <c r="BE145" s="147">
        <f t="shared" si="4"/>
        <v>0</v>
      </c>
      <c r="BF145" s="147">
        <f t="shared" si="5"/>
        <v>0</v>
      </c>
      <c r="BG145" s="147">
        <f t="shared" si="6"/>
        <v>0</v>
      </c>
      <c r="BH145" s="147">
        <f t="shared" si="7"/>
        <v>0</v>
      </c>
      <c r="BI145" s="147">
        <f t="shared" si="8"/>
        <v>0</v>
      </c>
      <c r="BJ145" s="14" t="s">
        <v>18</v>
      </c>
      <c r="BK145" s="147">
        <f t="shared" si="9"/>
        <v>0</v>
      </c>
      <c r="BL145" s="14" t="s">
        <v>128</v>
      </c>
      <c r="BM145" s="146" t="s">
        <v>157</v>
      </c>
    </row>
    <row r="146" spans="2:63" s="12" customFormat="1" ht="22.9" customHeight="1">
      <c r="B146" s="122"/>
      <c r="D146" s="123" t="s">
        <v>71</v>
      </c>
      <c r="E146" s="132" t="s">
        <v>77</v>
      </c>
      <c r="F146" s="132" t="s">
        <v>158</v>
      </c>
      <c r="J146" s="133">
        <f>BK146</f>
        <v>0</v>
      </c>
      <c r="L146" s="122"/>
      <c r="M146" s="126"/>
      <c r="N146" s="127"/>
      <c r="O146" s="127"/>
      <c r="P146" s="128">
        <f>SUM(P147:P152)</f>
        <v>148.21365</v>
      </c>
      <c r="Q146" s="127"/>
      <c r="R146" s="128">
        <f>SUM(R147:R152)</f>
        <v>0.023206449999999997</v>
      </c>
      <c r="S146" s="127"/>
      <c r="T146" s="129">
        <f>SUM(T147:T152)</f>
        <v>13.937440000000002</v>
      </c>
      <c r="AR146" s="123" t="s">
        <v>18</v>
      </c>
      <c r="AT146" s="130" t="s">
        <v>71</v>
      </c>
      <c r="AU146" s="130" t="s">
        <v>18</v>
      </c>
      <c r="AY146" s="123" t="s">
        <v>121</v>
      </c>
      <c r="BK146" s="131">
        <f>SUM(BK147:BK152)</f>
        <v>0</v>
      </c>
    </row>
    <row r="147" spans="1:65" s="2" customFormat="1" ht="24" customHeight="1">
      <c r="A147" s="26"/>
      <c r="B147" s="134"/>
      <c r="C147" s="135" t="s">
        <v>77</v>
      </c>
      <c r="D147" s="135" t="s">
        <v>124</v>
      </c>
      <c r="E147" s="136" t="s">
        <v>159</v>
      </c>
      <c r="F147" s="137" t="s">
        <v>160</v>
      </c>
      <c r="G147" s="138" t="s">
        <v>127</v>
      </c>
      <c r="H147" s="139">
        <v>94.56</v>
      </c>
      <c r="I147" s="140">
        <v>0</v>
      </c>
      <c r="J147" s="140">
        <f aca="true" t="shared" si="10" ref="J147:J152">ROUND(I147*H147,2)</f>
        <v>0</v>
      </c>
      <c r="K147" s="141"/>
      <c r="L147" s="27"/>
      <c r="M147" s="142" t="s">
        <v>1</v>
      </c>
      <c r="N147" s="143" t="s">
        <v>37</v>
      </c>
      <c r="O147" s="144">
        <v>0.105</v>
      </c>
      <c r="P147" s="144">
        <f aca="true" t="shared" si="11" ref="P147:P152">O147*H147</f>
        <v>9.9288</v>
      </c>
      <c r="Q147" s="144">
        <v>0.00013</v>
      </c>
      <c r="R147" s="144">
        <f aca="true" t="shared" si="12" ref="R147:R152">Q147*H147</f>
        <v>0.0122928</v>
      </c>
      <c r="S147" s="144">
        <v>0</v>
      </c>
      <c r="T147" s="145">
        <f aca="true" t="shared" si="13" ref="T147:T152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6" t="s">
        <v>128</v>
      </c>
      <c r="AT147" s="146" t="s">
        <v>124</v>
      </c>
      <c r="AU147" s="146" t="s">
        <v>80</v>
      </c>
      <c r="AY147" s="14" t="s">
        <v>121</v>
      </c>
      <c r="BE147" s="147">
        <f aca="true" t="shared" si="14" ref="BE147:BE152">IF(N147="základní",J147,0)</f>
        <v>0</v>
      </c>
      <c r="BF147" s="147">
        <f aca="true" t="shared" si="15" ref="BF147:BF152">IF(N147="snížená",J147,0)</f>
        <v>0</v>
      </c>
      <c r="BG147" s="147">
        <f aca="true" t="shared" si="16" ref="BG147:BG152">IF(N147="zákl. přenesená",J147,0)</f>
        <v>0</v>
      </c>
      <c r="BH147" s="147">
        <f aca="true" t="shared" si="17" ref="BH147:BH152">IF(N147="sníž. přenesená",J147,0)</f>
        <v>0</v>
      </c>
      <c r="BI147" s="147">
        <f aca="true" t="shared" si="18" ref="BI147:BI152">IF(N147="nulová",J147,0)</f>
        <v>0</v>
      </c>
      <c r="BJ147" s="14" t="s">
        <v>18</v>
      </c>
      <c r="BK147" s="147">
        <f aca="true" t="shared" si="19" ref="BK147:BK152">ROUND(I147*H147,2)</f>
        <v>0</v>
      </c>
      <c r="BL147" s="14" t="s">
        <v>128</v>
      </c>
      <c r="BM147" s="146" t="s">
        <v>161</v>
      </c>
    </row>
    <row r="148" spans="1:65" s="2" customFormat="1" ht="24" customHeight="1">
      <c r="A148" s="26"/>
      <c r="B148" s="134"/>
      <c r="C148" s="135" t="s">
        <v>22</v>
      </c>
      <c r="D148" s="135" t="s">
        <v>124</v>
      </c>
      <c r="E148" s="136" t="s">
        <v>162</v>
      </c>
      <c r="F148" s="137" t="s">
        <v>163</v>
      </c>
      <c r="G148" s="138" t="s">
        <v>127</v>
      </c>
      <c r="H148" s="139">
        <v>216.7</v>
      </c>
      <c r="I148" s="140">
        <v>0</v>
      </c>
      <c r="J148" s="140">
        <f t="shared" si="10"/>
        <v>0</v>
      </c>
      <c r="K148" s="141"/>
      <c r="L148" s="27"/>
      <c r="M148" s="142" t="s">
        <v>1</v>
      </c>
      <c r="N148" s="143" t="s">
        <v>37</v>
      </c>
      <c r="O148" s="144">
        <v>0.308</v>
      </c>
      <c r="P148" s="144">
        <f t="shared" si="11"/>
        <v>66.7436</v>
      </c>
      <c r="Q148" s="144">
        <v>3.95E-05</v>
      </c>
      <c r="R148" s="144">
        <f t="shared" si="12"/>
        <v>0.008559649999999999</v>
      </c>
      <c r="S148" s="144">
        <v>0</v>
      </c>
      <c r="T148" s="14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6" t="s">
        <v>128</v>
      </c>
      <c r="AT148" s="146" t="s">
        <v>124</v>
      </c>
      <c r="AU148" s="146" t="s">
        <v>80</v>
      </c>
      <c r="AY148" s="14" t="s">
        <v>121</v>
      </c>
      <c r="BE148" s="147">
        <f t="shared" si="14"/>
        <v>0</v>
      </c>
      <c r="BF148" s="147">
        <f t="shared" si="15"/>
        <v>0</v>
      </c>
      <c r="BG148" s="147">
        <f t="shared" si="16"/>
        <v>0</v>
      </c>
      <c r="BH148" s="147">
        <f t="shared" si="17"/>
        <v>0</v>
      </c>
      <c r="BI148" s="147">
        <f t="shared" si="18"/>
        <v>0</v>
      </c>
      <c r="BJ148" s="14" t="s">
        <v>18</v>
      </c>
      <c r="BK148" s="147">
        <f t="shared" si="19"/>
        <v>0</v>
      </c>
      <c r="BL148" s="14" t="s">
        <v>128</v>
      </c>
      <c r="BM148" s="146" t="s">
        <v>164</v>
      </c>
    </row>
    <row r="149" spans="1:65" s="2" customFormat="1" ht="24" customHeight="1">
      <c r="A149" s="26"/>
      <c r="B149" s="134"/>
      <c r="C149" s="135" t="s">
        <v>165</v>
      </c>
      <c r="D149" s="135" t="s">
        <v>124</v>
      </c>
      <c r="E149" s="136" t="s">
        <v>166</v>
      </c>
      <c r="F149" s="137" t="s">
        <v>167</v>
      </c>
      <c r="G149" s="138" t="s">
        <v>127</v>
      </c>
      <c r="H149" s="139">
        <v>9.182</v>
      </c>
      <c r="I149" s="140">
        <v>0</v>
      </c>
      <c r="J149" s="140">
        <f t="shared" si="10"/>
        <v>0</v>
      </c>
      <c r="K149" s="141"/>
      <c r="L149" s="27"/>
      <c r="M149" s="142" t="s">
        <v>1</v>
      </c>
      <c r="N149" s="143" t="s">
        <v>37</v>
      </c>
      <c r="O149" s="144">
        <v>0.375</v>
      </c>
      <c r="P149" s="144">
        <f t="shared" si="11"/>
        <v>3.44325</v>
      </c>
      <c r="Q149" s="144">
        <v>0</v>
      </c>
      <c r="R149" s="144">
        <f t="shared" si="12"/>
        <v>0</v>
      </c>
      <c r="S149" s="144">
        <v>0.12</v>
      </c>
      <c r="T149" s="145">
        <f t="shared" si="13"/>
        <v>1.10184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6" t="s">
        <v>128</v>
      </c>
      <c r="AT149" s="146" t="s">
        <v>124</v>
      </c>
      <c r="AU149" s="146" t="s">
        <v>80</v>
      </c>
      <c r="AY149" s="14" t="s">
        <v>121</v>
      </c>
      <c r="BE149" s="147">
        <f t="shared" si="14"/>
        <v>0</v>
      </c>
      <c r="BF149" s="147">
        <f t="shared" si="15"/>
        <v>0</v>
      </c>
      <c r="BG149" s="147">
        <f t="shared" si="16"/>
        <v>0</v>
      </c>
      <c r="BH149" s="147">
        <f t="shared" si="17"/>
        <v>0</v>
      </c>
      <c r="BI149" s="147">
        <f t="shared" si="18"/>
        <v>0</v>
      </c>
      <c r="BJ149" s="14" t="s">
        <v>18</v>
      </c>
      <c r="BK149" s="147">
        <f t="shared" si="19"/>
        <v>0</v>
      </c>
      <c r="BL149" s="14" t="s">
        <v>128</v>
      </c>
      <c r="BM149" s="146" t="s">
        <v>168</v>
      </c>
    </row>
    <row r="150" spans="1:65" s="2" customFormat="1" ht="24" customHeight="1">
      <c r="A150" s="26"/>
      <c r="B150" s="134"/>
      <c r="C150" s="135" t="s">
        <v>169</v>
      </c>
      <c r="D150" s="135" t="s">
        <v>124</v>
      </c>
      <c r="E150" s="136" t="s">
        <v>170</v>
      </c>
      <c r="F150" s="137" t="s">
        <v>171</v>
      </c>
      <c r="G150" s="138" t="s">
        <v>144</v>
      </c>
      <c r="H150" s="139">
        <v>2.2</v>
      </c>
      <c r="I150" s="140">
        <v>0</v>
      </c>
      <c r="J150" s="140">
        <f t="shared" si="10"/>
        <v>0</v>
      </c>
      <c r="K150" s="141"/>
      <c r="L150" s="27"/>
      <c r="M150" s="142" t="s">
        <v>1</v>
      </c>
      <c r="N150" s="143" t="s">
        <v>37</v>
      </c>
      <c r="O150" s="144">
        <v>1.6</v>
      </c>
      <c r="P150" s="144">
        <f t="shared" si="11"/>
        <v>3.5200000000000005</v>
      </c>
      <c r="Q150" s="144">
        <v>0.00107</v>
      </c>
      <c r="R150" s="144">
        <f t="shared" si="12"/>
        <v>0.002354</v>
      </c>
      <c r="S150" s="144">
        <v>0.038</v>
      </c>
      <c r="T150" s="145">
        <f t="shared" si="13"/>
        <v>0.08360000000000001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6" t="s">
        <v>128</v>
      </c>
      <c r="AT150" s="146" t="s">
        <v>124</v>
      </c>
      <c r="AU150" s="146" t="s">
        <v>80</v>
      </c>
      <c r="AY150" s="14" t="s">
        <v>121</v>
      </c>
      <c r="BE150" s="147">
        <f t="shared" si="14"/>
        <v>0</v>
      </c>
      <c r="BF150" s="147">
        <f t="shared" si="15"/>
        <v>0</v>
      </c>
      <c r="BG150" s="147">
        <f t="shared" si="16"/>
        <v>0</v>
      </c>
      <c r="BH150" s="147">
        <f t="shared" si="17"/>
        <v>0</v>
      </c>
      <c r="BI150" s="147">
        <f t="shared" si="18"/>
        <v>0</v>
      </c>
      <c r="BJ150" s="14" t="s">
        <v>18</v>
      </c>
      <c r="BK150" s="147">
        <f t="shared" si="19"/>
        <v>0</v>
      </c>
      <c r="BL150" s="14" t="s">
        <v>128</v>
      </c>
      <c r="BM150" s="146" t="s">
        <v>172</v>
      </c>
    </row>
    <row r="151" spans="1:65" s="2" customFormat="1" ht="24" customHeight="1">
      <c r="A151" s="26"/>
      <c r="B151" s="134"/>
      <c r="C151" s="135" t="s">
        <v>173</v>
      </c>
      <c r="D151" s="135" t="s">
        <v>124</v>
      </c>
      <c r="E151" s="136" t="s">
        <v>174</v>
      </c>
      <c r="F151" s="137" t="s">
        <v>175</v>
      </c>
      <c r="G151" s="138" t="s">
        <v>127</v>
      </c>
      <c r="H151" s="139">
        <v>145.8</v>
      </c>
      <c r="I151" s="140">
        <v>0</v>
      </c>
      <c r="J151" s="140">
        <f t="shared" si="10"/>
        <v>0</v>
      </c>
      <c r="K151" s="141"/>
      <c r="L151" s="27"/>
      <c r="M151" s="142" t="s">
        <v>1</v>
      </c>
      <c r="N151" s="143" t="s">
        <v>37</v>
      </c>
      <c r="O151" s="144">
        <v>0.26</v>
      </c>
      <c r="P151" s="144">
        <f t="shared" si="11"/>
        <v>37.908</v>
      </c>
      <c r="Q151" s="144">
        <v>0</v>
      </c>
      <c r="R151" s="144">
        <f t="shared" si="12"/>
        <v>0</v>
      </c>
      <c r="S151" s="144">
        <v>0.046</v>
      </c>
      <c r="T151" s="145">
        <f t="shared" si="13"/>
        <v>6.7068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6" t="s">
        <v>128</v>
      </c>
      <c r="AT151" s="146" t="s">
        <v>124</v>
      </c>
      <c r="AU151" s="146" t="s">
        <v>80</v>
      </c>
      <c r="AY151" s="14" t="s">
        <v>121</v>
      </c>
      <c r="BE151" s="147">
        <f t="shared" si="14"/>
        <v>0</v>
      </c>
      <c r="BF151" s="147">
        <f t="shared" si="15"/>
        <v>0</v>
      </c>
      <c r="BG151" s="147">
        <f t="shared" si="16"/>
        <v>0</v>
      </c>
      <c r="BH151" s="147">
        <f t="shared" si="17"/>
        <v>0</v>
      </c>
      <c r="BI151" s="147">
        <f t="shared" si="18"/>
        <v>0</v>
      </c>
      <c r="BJ151" s="14" t="s">
        <v>18</v>
      </c>
      <c r="BK151" s="147">
        <f t="shared" si="19"/>
        <v>0</v>
      </c>
      <c r="BL151" s="14" t="s">
        <v>128</v>
      </c>
      <c r="BM151" s="146" t="s">
        <v>176</v>
      </c>
    </row>
    <row r="152" spans="1:65" s="2" customFormat="1" ht="24" customHeight="1">
      <c r="A152" s="26"/>
      <c r="B152" s="134"/>
      <c r="C152" s="135" t="s">
        <v>177</v>
      </c>
      <c r="D152" s="135" t="s">
        <v>124</v>
      </c>
      <c r="E152" s="136" t="s">
        <v>178</v>
      </c>
      <c r="F152" s="137" t="s">
        <v>179</v>
      </c>
      <c r="G152" s="138" t="s">
        <v>127</v>
      </c>
      <c r="H152" s="139">
        <v>88.9</v>
      </c>
      <c r="I152" s="140">
        <v>0</v>
      </c>
      <c r="J152" s="140">
        <f t="shared" si="10"/>
        <v>0</v>
      </c>
      <c r="K152" s="141"/>
      <c r="L152" s="27"/>
      <c r="M152" s="142" t="s">
        <v>1</v>
      </c>
      <c r="N152" s="143" t="s">
        <v>37</v>
      </c>
      <c r="O152" s="144">
        <v>0.3</v>
      </c>
      <c r="P152" s="144">
        <f t="shared" si="11"/>
        <v>26.67</v>
      </c>
      <c r="Q152" s="144">
        <v>0</v>
      </c>
      <c r="R152" s="144">
        <f t="shared" si="12"/>
        <v>0</v>
      </c>
      <c r="S152" s="144">
        <v>0.068</v>
      </c>
      <c r="T152" s="145">
        <f t="shared" si="13"/>
        <v>6.045200000000001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6" t="s">
        <v>128</v>
      </c>
      <c r="AT152" s="146" t="s">
        <v>124</v>
      </c>
      <c r="AU152" s="146" t="s">
        <v>80</v>
      </c>
      <c r="AY152" s="14" t="s">
        <v>121</v>
      </c>
      <c r="BE152" s="147">
        <f t="shared" si="14"/>
        <v>0</v>
      </c>
      <c r="BF152" s="147">
        <f t="shared" si="15"/>
        <v>0</v>
      </c>
      <c r="BG152" s="147">
        <f t="shared" si="16"/>
        <v>0</v>
      </c>
      <c r="BH152" s="147">
        <f t="shared" si="17"/>
        <v>0</v>
      </c>
      <c r="BI152" s="147">
        <f t="shared" si="18"/>
        <v>0</v>
      </c>
      <c r="BJ152" s="14" t="s">
        <v>18</v>
      </c>
      <c r="BK152" s="147">
        <f t="shared" si="19"/>
        <v>0</v>
      </c>
      <c r="BL152" s="14" t="s">
        <v>128</v>
      </c>
      <c r="BM152" s="146" t="s">
        <v>180</v>
      </c>
    </row>
    <row r="153" spans="2:63" s="12" customFormat="1" ht="22.9" customHeight="1">
      <c r="B153" s="122"/>
      <c r="D153" s="123" t="s">
        <v>71</v>
      </c>
      <c r="E153" s="132" t="s">
        <v>181</v>
      </c>
      <c r="F153" s="132" t="s">
        <v>182</v>
      </c>
      <c r="J153" s="133">
        <f>BK153</f>
        <v>0</v>
      </c>
      <c r="L153" s="122"/>
      <c r="M153" s="126"/>
      <c r="N153" s="127"/>
      <c r="O153" s="127"/>
      <c r="P153" s="128">
        <f>SUM(P154:P158)</f>
        <v>39.050785958</v>
      </c>
      <c r="Q153" s="127"/>
      <c r="R153" s="128">
        <f>SUM(R154:R158)</f>
        <v>0</v>
      </c>
      <c r="S153" s="127"/>
      <c r="T153" s="129">
        <f>SUM(T154:T158)</f>
        <v>0</v>
      </c>
      <c r="AR153" s="123" t="s">
        <v>18</v>
      </c>
      <c r="AT153" s="130" t="s">
        <v>71</v>
      </c>
      <c r="AU153" s="130" t="s">
        <v>18</v>
      </c>
      <c r="AY153" s="123" t="s">
        <v>121</v>
      </c>
      <c r="BK153" s="131">
        <f>SUM(BK154:BK158)</f>
        <v>0</v>
      </c>
    </row>
    <row r="154" spans="1:65" s="2" customFormat="1" ht="16.5" customHeight="1">
      <c r="A154" s="26"/>
      <c r="B154" s="134"/>
      <c r="C154" s="135" t="s">
        <v>8</v>
      </c>
      <c r="D154" s="135" t="s">
        <v>124</v>
      </c>
      <c r="E154" s="136" t="s">
        <v>183</v>
      </c>
      <c r="F154" s="137" t="s">
        <v>184</v>
      </c>
      <c r="G154" s="138" t="s">
        <v>185</v>
      </c>
      <c r="H154" s="139">
        <v>13.941718000000002</v>
      </c>
      <c r="I154" s="140">
        <v>0</v>
      </c>
      <c r="J154" s="140">
        <f>ROUND(I154*H154,2)</f>
        <v>0</v>
      </c>
      <c r="K154" s="141"/>
      <c r="L154" s="27"/>
      <c r="M154" s="142" t="s">
        <v>1</v>
      </c>
      <c r="N154" s="143" t="s">
        <v>37</v>
      </c>
      <c r="O154" s="144">
        <v>0.136</v>
      </c>
      <c r="P154" s="144">
        <f>O154*H154</f>
        <v>1.8960736480000004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6" t="s">
        <v>128</v>
      </c>
      <c r="AT154" s="146" t="s">
        <v>124</v>
      </c>
      <c r="AU154" s="146" t="s">
        <v>80</v>
      </c>
      <c r="AY154" s="14" t="s">
        <v>121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4" t="s">
        <v>18</v>
      </c>
      <c r="BK154" s="147">
        <f>ROUND(I154*H154,2)</f>
        <v>0</v>
      </c>
      <c r="BL154" s="14" t="s">
        <v>128</v>
      </c>
      <c r="BM154" s="146" t="s">
        <v>186</v>
      </c>
    </row>
    <row r="155" spans="1:65" s="2" customFormat="1" ht="24" customHeight="1">
      <c r="A155" s="26"/>
      <c r="B155" s="134"/>
      <c r="C155" s="135" t="s">
        <v>187</v>
      </c>
      <c r="D155" s="135" t="s">
        <v>124</v>
      </c>
      <c r="E155" s="136" t="s">
        <v>188</v>
      </c>
      <c r="F155" s="137" t="s">
        <v>189</v>
      </c>
      <c r="G155" s="138" t="s">
        <v>185</v>
      </c>
      <c r="H155" s="139">
        <v>13.941718000000002</v>
      </c>
      <c r="I155" s="140">
        <v>0</v>
      </c>
      <c r="J155" s="140">
        <f>ROUND(I155*H155,2)</f>
        <v>0</v>
      </c>
      <c r="K155" s="141"/>
      <c r="L155" s="27"/>
      <c r="M155" s="142" t="s">
        <v>1</v>
      </c>
      <c r="N155" s="143" t="s">
        <v>37</v>
      </c>
      <c r="O155" s="144">
        <v>2.42</v>
      </c>
      <c r="P155" s="144">
        <f>O155*H155</f>
        <v>33.73895756</v>
      </c>
      <c r="Q155" s="144">
        <v>0</v>
      </c>
      <c r="R155" s="144">
        <f>Q155*H155</f>
        <v>0</v>
      </c>
      <c r="S155" s="144">
        <v>0</v>
      </c>
      <c r="T155" s="145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6" t="s">
        <v>128</v>
      </c>
      <c r="AT155" s="146" t="s">
        <v>124</v>
      </c>
      <c r="AU155" s="146" t="s">
        <v>80</v>
      </c>
      <c r="AY155" s="14" t="s">
        <v>121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4" t="s">
        <v>18</v>
      </c>
      <c r="BK155" s="147">
        <f>ROUND(I155*H155,2)</f>
        <v>0</v>
      </c>
      <c r="BL155" s="14" t="s">
        <v>128</v>
      </c>
      <c r="BM155" s="146" t="s">
        <v>190</v>
      </c>
    </row>
    <row r="156" spans="1:65" s="2" customFormat="1" ht="24" customHeight="1">
      <c r="A156" s="26"/>
      <c r="B156" s="134"/>
      <c r="C156" s="135" t="s">
        <v>191</v>
      </c>
      <c r="D156" s="135" t="s">
        <v>124</v>
      </c>
      <c r="E156" s="136" t="s">
        <v>192</v>
      </c>
      <c r="F156" s="137" t="s">
        <v>193</v>
      </c>
      <c r="G156" s="138" t="s">
        <v>185</v>
      </c>
      <c r="H156" s="139">
        <v>13.941718000000002</v>
      </c>
      <c r="I156" s="140">
        <v>0</v>
      </c>
      <c r="J156" s="140">
        <f>ROUND(I156*H156,2)</f>
        <v>0</v>
      </c>
      <c r="K156" s="141"/>
      <c r="L156" s="27"/>
      <c r="M156" s="142" t="s">
        <v>1</v>
      </c>
      <c r="N156" s="143" t="s">
        <v>37</v>
      </c>
      <c r="O156" s="144">
        <v>0.125</v>
      </c>
      <c r="P156" s="144">
        <f>O156*H156</f>
        <v>1.7427147500000002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6" t="s">
        <v>128</v>
      </c>
      <c r="AT156" s="146" t="s">
        <v>124</v>
      </c>
      <c r="AU156" s="146" t="s">
        <v>80</v>
      </c>
      <c r="AY156" s="14" t="s">
        <v>121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4" t="s">
        <v>18</v>
      </c>
      <c r="BK156" s="147">
        <f>ROUND(I156*H156,2)</f>
        <v>0</v>
      </c>
      <c r="BL156" s="14" t="s">
        <v>128</v>
      </c>
      <c r="BM156" s="146" t="s">
        <v>194</v>
      </c>
    </row>
    <row r="157" spans="1:65" s="2" customFormat="1" ht="24" customHeight="1">
      <c r="A157" s="26"/>
      <c r="B157" s="134"/>
      <c r="C157" s="135" t="s">
        <v>195</v>
      </c>
      <c r="D157" s="135" t="s">
        <v>124</v>
      </c>
      <c r="E157" s="136" t="s">
        <v>196</v>
      </c>
      <c r="F157" s="137" t="s">
        <v>197</v>
      </c>
      <c r="G157" s="138" t="s">
        <v>185</v>
      </c>
      <c r="H157" s="139">
        <v>278.84</v>
      </c>
      <c r="I157" s="140">
        <v>0</v>
      </c>
      <c r="J157" s="140">
        <f>ROUND(I157*H157,2)</f>
        <v>0</v>
      </c>
      <c r="K157" s="141"/>
      <c r="L157" s="27"/>
      <c r="M157" s="142" t="s">
        <v>1</v>
      </c>
      <c r="N157" s="143" t="s">
        <v>37</v>
      </c>
      <c r="O157" s="144">
        <v>0.006</v>
      </c>
      <c r="P157" s="144">
        <f>O157*H157</f>
        <v>1.6730399999999999</v>
      </c>
      <c r="Q157" s="144">
        <v>0</v>
      </c>
      <c r="R157" s="144">
        <f>Q157*H157</f>
        <v>0</v>
      </c>
      <c r="S157" s="144">
        <v>0</v>
      </c>
      <c r="T157" s="145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6" t="s">
        <v>128</v>
      </c>
      <c r="AT157" s="146" t="s">
        <v>124</v>
      </c>
      <c r="AU157" s="146" t="s">
        <v>80</v>
      </c>
      <c r="AY157" s="14" t="s">
        <v>121</v>
      </c>
      <c r="BE157" s="147">
        <f>IF(N157="základní",J157,0)</f>
        <v>0</v>
      </c>
      <c r="BF157" s="147">
        <f>IF(N157="snížená",J157,0)</f>
        <v>0</v>
      </c>
      <c r="BG157" s="147">
        <f>IF(N157="zákl. přenesená",J157,0)</f>
        <v>0</v>
      </c>
      <c r="BH157" s="147">
        <f>IF(N157="sníž. přenesená",J157,0)</f>
        <v>0</v>
      </c>
      <c r="BI157" s="147">
        <f>IF(N157="nulová",J157,0)</f>
        <v>0</v>
      </c>
      <c r="BJ157" s="14" t="s">
        <v>18</v>
      </c>
      <c r="BK157" s="147">
        <f>ROUND(I157*H157,2)</f>
        <v>0</v>
      </c>
      <c r="BL157" s="14" t="s">
        <v>128</v>
      </c>
      <c r="BM157" s="146" t="s">
        <v>198</v>
      </c>
    </row>
    <row r="158" spans="1:65" s="2" customFormat="1" ht="24" customHeight="1">
      <c r="A158" s="26"/>
      <c r="B158" s="134"/>
      <c r="C158" s="135" t="s">
        <v>13</v>
      </c>
      <c r="D158" s="135" t="s">
        <v>124</v>
      </c>
      <c r="E158" s="136" t="s">
        <v>199</v>
      </c>
      <c r="F158" s="137" t="s">
        <v>200</v>
      </c>
      <c r="G158" s="138" t="s">
        <v>185</v>
      </c>
      <c r="H158" s="139">
        <v>13.941718000000002</v>
      </c>
      <c r="I158" s="140">
        <v>0</v>
      </c>
      <c r="J158" s="140">
        <f>ROUND(I158*H158,2)</f>
        <v>0</v>
      </c>
      <c r="K158" s="141"/>
      <c r="L158" s="27"/>
      <c r="M158" s="142" t="s">
        <v>1</v>
      </c>
      <c r="N158" s="143" t="s">
        <v>37</v>
      </c>
      <c r="O158" s="144">
        <v>0</v>
      </c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6" t="s">
        <v>128</v>
      </c>
      <c r="AT158" s="146" t="s">
        <v>124</v>
      </c>
      <c r="AU158" s="146" t="s">
        <v>80</v>
      </c>
      <c r="AY158" s="14" t="s">
        <v>121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4" t="s">
        <v>18</v>
      </c>
      <c r="BK158" s="147">
        <f>ROUND(I158*H158,2)</f>
        <v>0</v>
      </c>
      <c r="BL158" s="14" t="s">
        <v>128</v>
      </c>
      <c r="BM158" s="146" t="s">
        <v>201</v>
      </c>
    </row>
    <row r="159" spans="2:63" s="12" customFormat="1" ht="22.9" customHeight="1">
      <c r="B159" s="122"/>
      <c r="D159" s="123" t="s">
        <v>71</v>
      </c>
      <c r="E159" s="132" t="s">
        <v>202</v>
      </c>
      <c r="F159" s="132" t="s">
        <v>203</v>
      </c>
      <c r="J159" s="133">
        <f>BK159</f>
        <v>0</v>
      </c>
      <c r="L159" s="122"/>
      <c r="M159" s="126"/>
      <c r="N159" s="127"/>
      <c r="O159" s="127"/>
      <c r="P159" s="128">
        <f>P160</f>
        <v>44.25593960423999</v>
      </c>
      <c r="Q159" s="127"/>
      <c r="R159" s="128">
        <f>R160</f>
        <v>0</v>
      </c>
      <c r="S159" s="127"/>
      <c r="T159" s="129">
        <f>T160</f>
        <v>0</v>
      </c>
      <c r="AR159" s="123" t="s">
        <v>18</v>
      </c>
      <c r="AT159" s="130" t="s">
        <v>71</v>
      </c>
      <c r="AU159" s="130" t="s">
        <v>18</v>
      </c>
      <c r="AY159" s="123" t="s">
        <v>121</v>
      </c>
      <c r="BK159" s="131">
        <f>BK160</f>
        <v>0</v>
      </c>
    </row>
    <row r="160" spans="1:65" s="2" customFormat="1" ht="16.5" customHeight="1">
      <c r="A160" s="26"/>
      <c r="B160" s="134"/>
      <c r="C160" s="135" t="s">
        <v>204</v>
      </c>
      <c r="D160" s="135" t="s">
        <v>124</v>
      </c>
      <c r="E160" s="136" t="s">
        <v>205</v>
      </c>
      <c r="F160" s="137" t="s">
        <v>206</v>
      </c>
      <c r="G160" s="138" t="s">
        <v>185</v>
      </c>
      <c r="H160" s="139">
        <v>12.158225165999998</v>
      </c>
      <c r="I160" s="140">
        <v>0</v>
      </c>
      <c r="J160" s="140">
        <f>ROUND(I160*H160,2)</f>
        <v>0</v>
      </c>
      <c r="K160" s="141"/>
      <c r="L160" s="27"/>
      <c r="M160" s="142" t="s">
        <v>1</v>
      </c>
      <c r="N160" s="143" t="s">
        <v>37</v>
      </c>
      <c r="O160" s="144">
        <v>3.64</v>
      </c>
      <c r="P160" s="144">
        <f>O160*H160</f>
        <v>44.25593960423999</v>
      </c>
      <c r="Q160" s="144">
        <v>0</v>
      </c>
      <c r="R160" s="144">
        <f>Q160*H160</f>
        <v>0</v>
      </c>
      <c r="S160" s="144">
        <v>0</v>
      </c>
      <c r="T160" s="145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6" t="s">
        <v>128</v>
      </c>
      <c r="AT160" s="146" t="s">
        <v>124</v>
      </c>
      <c r="AU160" s="146" t="s">
        <v>80</v>
      </c>
      <c r="AY160" s="14" t="s">
        <v>121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4" t="s">
        <v>18</v>
      </c>
      <c r="BK160" s="147">
        <f>ROUND(I160*H160,2)</f>
        <v>0</v>
      </c>
      <c r="BL160" s="14" t="s">
        <v>128</v>
      </c>
      <c r="BM160" s="146" t="s">
        <v>207</v>
      </c>
    </row>
    <row r="161" spans="2:63" s="12" customFormat="1" ht="25.9" customHeight="1">
      <c r="B161" s="122"/>
      <c r="D161" s="123" t="s">
        <v>71</v>
      </c>
      <c r="E161" s="124" t="s">
        <v>208</v>
      </c>
      <c r="F161" s="124" t="s">
        <v>209</v>
      </c>
      <c r="J161" s="125">
        <f>BK161</f>
        <v>0</v>
      </c>
      <c r="L161" s="122"/>
      <c r="M161" s="126"/>
      <c r="N161" s="127"/>
      <c r="O161" s="127"/>
      <c r="P161" s="128">
        <f>P162+P164+P166+P171+P180+P182</f>
        <v>290.02245</v>
      </c>
      <c r="Q161" s="127"/>
      <c r="R161" s="128">
        <f>R162+R164+R166+R171+R180+R182</f>
        <v>4.279317771199999</v>
      </c>
      <c r="S161" s="127"/>
      <c r="T161" s="129">
        <f>T162+T164+T166+T171+T180+T182</f>
        <v>0.0042780000000000006</v>
      </c>
      <c r="AR161" s="123" t="s">
        <v>80</v>
      </c>
      <c r="AT161" s="130" t="s">
        <v>71</v>
      </c>
      <c r="AU161" s="130" t="s">
        <v>72</v>
      </c>
      <c r="AY161" s="123" t="s">
        <v>121</v>
      </c>
      <c r="BK161" s="131">
        <f>BK162+BK164+BK166+BK171+BK180+BK182</f>
        <v>0</v>
      </c>
    </row>
    <row r="162" spans="2:63" s="12" customFormat="1" ht="22.9" customHeight="1">
      <c r="B162" s="122"/>
      <c r="D162" s="123" t="s">
        <v>71</v>
      </c>
      <c r="E162" s="132" t="s">
        <v>210</v>
      </c>
      <c r="F162" s="132" t="s">
        <v>211</v>
      </c>
      <c r="J162" s="133">
        <f>BK162</f>
        <v>0</v>
      </c>
      <c r="L162" s="122"/>
      <c r="M162" s="126"/>
      <c r="N162" s="127"/>
      <c r="O162" s="127"/>
      <c r="P162" s="128">
        <f>P163</f>
        <v>19.222559999999998</v>
      </c>
      <c r="Q162" s="127"/>
      <c r="R162" s="128">
        <f>R163</f>
        <v>0.373772</v>
      </c>
      <c r="S162" s="127"/>
      <c r="T162" s="129">
        <f>T163</f>
        <v>0</v>
      </c>
      <c r="AR162" s="123" t="s">
        <v>80</v>
      </c>
      <c r="AT162" s="130" t="s">
        <v>71</v>
      </c>
      <c r="AU162" s="130" t="s">
        <v>18</v>
      </c>
      <c r="AY162" s="123" t="s">
        <v>121</v>
      </c>
      <c r="BK162" s="131">
        <f>BK163</f>
        <v>0</v>
      </c>
    </row>
    <row r="163" spans="1:65" s="2" customFormat="1" ht="16.5" customHeight="1">
      <c r="A163" s="26"/>
      <c r="B163" s="134"/>
      <c r="C163" s="135" t="s">
        <v>7</v>
      </c>
      <c r="D163" s="135" t="s">
        <v>124</v>
      </c>
      <c r="E163" s="136" t="s">
        <v>212</v>
      </c>
      <c r="F163" s="137" t="s">
        <v>213</v>
      </c>
      <c r="G163" s="138" t="s">
        <v>127</v>
      </c>
      <c r="H163" s="139">
        <f>H139</f>
        <v>106.792</v>
      </c>
      <c r="I163" s="140">
        <v>0</v>
      </c>
      <c r="J163" s="140">
        <f>ROUND(I163*H163,2)</f>
        <v>0</v>
      </c>
      <c r="K163" s="141"/>
      <c r="L163" s="27"/>
      <c r="M163" s="142" t="s">
        <v>1</v>
      </c>
      <c r="N163" s="143" t="s">
        <v>37</v>
      </c>
      <c r="O163" s="144">
        <v>0.18</v>
      </c>
      <c r="P163" s="144">
        <f>O163*H163</f>
        <v>19.222559999999998</v>
      </c>
      <c r="Q163" s="144">
        <v>0.0035</v>
      </c>
      <c r="R163" s="144">
        <f>Q163*H163</f>
        <v>0.373772</v>
      </c>
      <c r="S163" s="144">
        <v>0</v>
      </c>
      <c r="T163" s="145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6" t="s">
        <v>187</v>
      </c>
      <c r="AT163" s="146" t="s">
        <v>124</v>
      </c>
      <c r="AU163" s="146" t="s">
        <v>80</v>
      </c>
      <c r="AY163" s="14" t="s">
        <v>121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4" t="s">
        <v>18</v>
      </c>
      <c r="BK163" s="147">
        <f>ROUND(I163*H163,2)</f>
        <v>0</v>
      </c>
      <c r="BL163" s="14" t="s">
        <v>187</v>
      </c>
      <c r="BM163" s="146" t="s">
        <v>214</v>
      </c>
    </row>
    <row r="164" spans="2:63" s="12" customFormat="1" ht="22.9" customHeight="1">
      <c r="B164" s="122"/>
      <c r="D164" s="123" t="s">
        <v>71</v>
      </c>
      <c r="E164" s="132" t="s">
        <v>215</v>
      </c>
      <c r="F164" s="132" t="s">
        <v>216</v>
      </c>
      <c r="J164" s="133">
        <f>BK164</f>
        <v>0</v>
      </c>
      <c r="L164" s="122"/>
      <c r="M164" s="126"/>
      <c r="N164" s="127"/>
      <c r="O164" s="127"/>
      <c r="P164" s="128">
        <f>P165</f>
        <v>0.085</v>
      </c>
      <c r="Q164" s="127"/>
      <c r="R164" s="128">
        <f>R165</f>
        <v>0</v>
      </c>
      <c r="S164" s="127"/>
      <c r="T164" s="129">
        <f>T165</f>
        <v>0</v>
      </c>
      <c r="AR164" s="123" t="s">
        <v>80</v>
      </c>
      <c r="AT164" s="130" t="s">
        <v>71</v>
      </c>
      <c r="AU164" s="130" t="s">
        <v>18</v>
      </c>
      <c r="AY164" s="123" t="s">
        <v>121</v>
      </c>
      <c r="BK164" s="131">
        <f>BK165</f>
        <v>0</v>
      </c>
    </row>
    <row r="165" spans="1:65" s="2" customFormat="1" ht="16.5" customHeight="1">
      <c r="A165" s="26"/>
      <c r="B165" s="134"/>
      <c r="C165" s="135" t="s">
        <v>217</v>
      </c>
      <c r="D165" s="135" t="s">
        <v>124</v>
      </c>
      <c r="E165" s="136" t="s">
        <v>218</v>
      </c>
      <c r="F165" s="137" t="s">
        <v>219</v>
      </c>
      <c r="G165" s="138" t="s">
        <v>139</v>
      </c>
      <c r="H165" s="139">
        <v>1</v>
      </c>
      <c r="I165" s="140">
        <v>0</v>
      </c>
      <c r="J165" s="140">
        <f>ROUND(I165*H165,2)</f>
        <v>0</v>
      </c>
      <c r="K165" s="141"/>
      <c r="L165" s="27"/>
      <c r="M165" s="142" t="s">
        <v>1</v>
      </c>
      <c r="N165" s="143" t="s">
        <v>37</v>
      </c>
      <c r="O165" s="144">
        <v>0.085</v>
      </c>
      <c r="P165" s="144">
        <f>O165*H165</f>
        <v>0.085</v>
      </c>
      <c r="Q165" s="144">
        <v>0</v>
      </c>
      <c r="R165" s="144">
        <f>Q165*H165</f>
        <v>0</v>
      </c>
      <c r="S165" s="144">
        <v>0</v>
      </c>
      <c r="T165" s="145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6" t="s">
        <v>187</v>
      </c>
      <c r="AT165" s="146" t="s">
        <v>124</v>
      </c>
      <c r="AU165" s="146" t="s">
        <v>80</v>
      </c>
      <c r="AY165" s="14" t="s">
        <v>121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4" t="s">
        <v>18</v>
      </c>
      <c r="BK165" s="147">
        <f>ROUND(I165*H165,2)</f>
        <v>0</v>
      </c>
      <c r="BL165" s="14" t="s">
        <v>187</v>
      </c>
      <c r="BM165" s="146" t="s">
        <v>220</v>
      </c>
    </row>
    <row r="166" spans="2:63" s="12" customFormat="1" ht="22.9" customHeight="1">
      <c r="B166" s="122"/>
      <c r="D166" s="123" t="s">
        <v>71</v>
      </c>
      <c r="E166" s="132" t="s">
        <v>221</v>
      </c>
      <c r="F166" s="132" t="s">
        <v>222</v>
      </c>
      <c r="J166" s="133">
        <f>BK166</f>
        <v>0</v>
      </c>
      <c r="L166" s="122"/>
      <c r="M166" s="126"/>
      <c r="N166" s="127"/>
      <c r="O166" s="127"/>
      <c r="P166" s="128">
        <f>SUM(P167:P170)</f>
        <v>139.816704</v>
      </c>
      <c r="Q166" s="127"/>
      <c r="R166" s="128">
        <f>SUM(R167:R170)</f>
        <v>1.72827602</v>
      </c>
      <c r="S166" s="127"/>
      <c r="T166" s="129">
        <f>SUM(T167:T170)</f>
        <v>0</v>
      </c>
      <c r="AR166" s="123" t="s">
        <v>80</v>
      </c>
      <c r="AT166" s="130" t="s">
        <v>71</v>
      </c>
      <c r="AU166" s="130" t="s">
        <v>18</v>
      </c>
      <c r="AY166" s="123" t="s">
        <v>121</v>
      </c>
      <c r="BK166" s="131">
        <f>SUM(BK167:BK170)</f>
        <v>0</v>
      </c>
    </row>
    <row r="167" spans="1:65" s="2" customFormat="1" ht="24" customHeight="1">
      <c r="A167" s="26"/>
      <c r="B167" s="134"/>
      <c r="C167" s="135" t="s">
        <v>223</v>
      </c>
      <c r="D167" s="135" t="s">
        <v>124</v>
      </c>
      <c r="E167" s="136" t="s">
        <v>224</v>
      </c>
      <c r="F167" s="137" t="s">
        <v>225</v>
      </c>
      <c r="G167" s="138" t="s">
        <v>127</v>
      </c>
      <c r="H167" s="139">
        <v>44.98</v>
      </c>
      <c r="I167" s="140">
        <v>0</v>
      </c>
      <c r="J167" s="140">
        <f>ROUND(I167*H167,2)</f>
        <v>0</v>
      </c>
      <c r="K167" s="141"/>
      <c r="L167" s="27"/>
      <c r="M167" s="142" t="s">
        <v>1</v>
      </c>
      <c r="N167" s="143" t="s">
        <v>37</v>
      </c>
      <c r="O167" s="144">
        <v>0.968</v>
      </c>
      <c r="P167" s="144">
        <f>O167*H167</f>
        <v>43.540639999999996</v>
      </c>
      <c r="Q167" s="144">
        <v>0.01223</v>
      </c>
      <c r="R167" s="144">
        <f>Q167*H167</f>
        <v>0.5501054</v>
      </c>
      <c r="S167" s="144">
        <v>0</v>
      </c>
      <c r="T167" s="145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6" t="s">
        <v>187</v>
      </c>
      <c r="AT167" s="146" t="s">
        <v>124</v>
      </c>
      <c r="AU167" s="146" t="s">
        <v>80</v>
      </c>
      <c r="AY167" s="14" t="s">
        <v>121</v>
      </c>
      <c r="BE167" s="147">
        <f>IF(N167="základní",J167,0)</f>
        <v>0</v>
      </c>
      <c r="BF167" s="147">
        <f>IF(N167="snížená",J167,0)</f>
        <v>0</v>
      </c>
      <c r="BG167" s="147">
        <f>IF(N167="zákl. přenesená",J167,0)</f>
        <v>0</v>
      </c>
      <c r="BH167" s="147">
        <f>IF(N167="sníž. přenesená",J167,0)</f>
        <v>0</v>
      </c>
      <c r="BI167" s="147">
        <f>IF(N167="nulová",J167,0)</f>
        <v>0</v>
      </c>
      <c r="BJ167" s="14" t="s">
        <v>18</v>
      </c>
      <c r="BK167" s="147">
        <f>ROUND(I167*H167,2)</f>
        <v>0</v>
      </c>
      <c r="BL167" s="14" t="s">
        <v>187</v>
      </c>
      <c r="BM167" s="146" t="s">
        <v>226</v>
      </c>
    </row>
    <row r="168" spans="1:65" s="2" customFormat="1" ht="24" customHeight="1">
      <c r="A168" s="26"/>
      <c r="B168" s="134"/>
      <c r="C168" s="135" t="s">
        <v>227</v>
      </c>
      <c r="D168" s="135" t="s">
        <v>124</v>
      </c>
      <c r="E168" s="136" t="s">
        <v>228</v>
      </c>
      <c r="F168" s="137" t="s">
        <v>229</v>
      </c>
      <c r="G168" s="138" t="s">
        <v>127</v>
      </c>
      <c r="H168" s="139">
        <v>93.953</v>
      </c>
      <c r="I168" s="140">
        <v>0</v>
      </c>
      <c r="J168" s="140">
        <f>ROUND(I168*H168,2)</f>
        <v>0</v>
      </c>
      <c r="K168" s="141"/>
      <c r="L168" s="27"/>
      <c r="M168" s="142" t="s">
        <v>1</v>
      </c>
      <c r="N168" s="143" t="s">
        <v>37</v>
      </c>
      <c r="O168" s="144">
        <v>0.968</v>
      </c>
      <c r="P168" s="144">
        <f>O168*H168</f>
        <v>90.946504</v>
      </c>
      <c r="Q168" s="144">
        <v>0.01254</v>
      </c>
      <c r="R168" s="144">
        <f>Q168*H168</f>
        <v>1.1781706200000002</v>
      </c>
      <c r="S168" s="144">
        <v>0</v>
      </c>
      <c r="T168" s="145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6" t="s">
        <v>187</v>
      </c>
      <c r="AT168" s="146" t="s">
        <v>124</v>
      </c>
      <c r="AU168" s="146" t="s">
        <v>80</v>
      </c>
      <c r="AY168" s="14" t="s">
        <v>121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4" t="s">
        <v>18</v>
      </c>
      <c r="BK168" s="147">
        <f>ROUND(I168*H168,2)</f>
        <v>0</v>
      </c>
      <c r="BL168" s="14" t="s">
        <v>187</v>
      </c>
      <c r="BM168" s="146" t="s">
        <v>230</v>
      </c>
    </row>
    <row r="169" spans="1:65" s="2" customFormat="1" ht="24" customHeight="1">
      <c r="A169" s="26"/>
      <c r="B169" s="134"/>
      <c r="C169" s="135" t="s">
        <v>231</v>
      </c>
      <c r="D169" s="135" t="s">
        <v>124</v>
      </c>
      <c r="E169" s="136" t="s">
        <v>232</v>
      </c>
      <c r="F169" s="137" t="s">
        <v>233</v>
      </c>
      <c r="G169" s="138" t="s">
        <v>185</v>
      </c>
      <c r="H169" s="139">
        <v>1.931</v>
      </c>
      <c r="I169" s="140">
        <v>0</v>
      </c>
      <c r="J169" s="140">
        <f>ROUND(I169*H169,2)</f>
        <v>0</v>
      </c>
      <c r="K169" s="141"/>
      <c r="L169" s="27"/>
      <c r="M169" s="142" t="s">
        <v>1</v>
      </c>
      <c r="N169" s="143" t="s">
        <v>37</v>
      </c>
      <c r="O169" s="144">
        <v>1.19</v>
      </c>
      <c r="P169" s="144">
        <f>O169*H169</f>
        <v>2.2978899999999998</v>
      </c>
      <c r="Q169" s="144">
        <v>0</v>
      </c>
      <c r="R169" s="144">
        <f>Q169*H169</f>
        <v>0</v>
      </c>
      <c r="S169" s="144">
        <v>0</v>
      </c>
      <c r="T169" s="145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6" t="s">
        <v>187</v>
      </c>
      <c r="AT169" s="146" t="s">
        <v>124</v>
      </c>
      <c r="AU169" s="146" t="s">
        <v>80</v>
      </c>
      <c r="AY169" s="14" t="s">
        <v>121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4" t="s">
        <v>18</v>
      </c>
      <c r="BK169" s="147">
        <f>ROUND(I169*H169,2)</f>
        <v>0</v>
      </c>
      <c r="BL169" s="14" t="s">
        <v>187</v>
      </c>
      <c r="BM169" s="146" t="s">
        <v>234</v>
      </c>
    </row>
    <row r="170" spans="1:65" s="2" customFormat="1" ht="24" customHeight="1">
      <c r="A170" s="26"/>
      <c r="B170" s="134"/>
      <c r="C170" s="135" t="s">
        <v>235</v>
      </c>
      <c r="D170" s="135" t="s">
        <v>124</v>
      </c>
      <c r="E170" s="136" t="s">
        <v>236</v>
      </c>
      <c r="F170" s="137" t="s">
        <v>237</v>
      </c>
      <c r="G170" s="138" t="s">
        <v>185</v>
      </c>
      <c r="H170" s="139">
        <v>1.931</v>
      </c>
      <c r="I170" s="140">
        <v>0</v>
      </c>
      <c r="J170" s="140">
        <f>ROUND(I170*H170,2)</f>
        <v>0</v>
      </c>
      <c r="K170" s="141"/>
      <c r="L170" s="27"/>
      <c r="M170" s="142" t="s">
        <v>1</v>
      </c>
      <c r="N170" s="143" t="s">
        <v>37</v>
      </c>
      <c r="O170" s="144">
        <v>1.57</v>
      </c>
      <c r="P170" s="144">
        <f>O170*H170</f>
        <v>3.03167</v>
      </c>
      <c r="Q170" s="144">
        <v>0</v>
      </c>
      <c r="R170" s="144">
        <f>Q170*H170</f>
        <v>0</v>
      </c>
      <c r="S170" s="144">
        <v>0</v>
      </c>
      <c r="T170" s="145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6" t="s">
        <v>187</v>
      </c>
      <c r="AT170" s="146" t="s">
        <v>124</v>
      </c>
      <c r="AU170" s="146" t="s">
        <v>80</v>
      </c>
      <c r="AY170" s="14" t="s">
        <v>121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4" t="s">
        <v>18</v>
      </c>
      <c r="BK170" s="147">
        <f>ROUND(I170*H170,2)</f>
        <v>0</v>
      </c>
      <c r="BL170" s="14" t="s">
        <v>187</v>
      </c>
      <c r="BM170" s="146" t="s">
        <v>238</v>
      </c>
    </row>
    <row r="171" spans="2:63" s="12" customFormat="1" ht="22.9" customHeight="1">
      <c r="B171" s="122"/>
      <c r="D171" s="123" t="s">
        <v>71</v>
      </c>
      <c r="E171" s="132" t="s">
        <v>239</v>
      </c>
      <c r="F171" s="132" t="s">
        <v>240</v>
      </c>
      <c r="J171" s="133">
        <f>BK171</f>
        <v>0</v>
      </c>
      <c r="L171" s="122"/>
      <c r="M171" s="126"/>
      <c r="N171" s="127"/>
      <c r="O171" s="127"/>
      <c r="P171" s="128">
        <f>SUM(P172:P179)</f>
        <v>103.37291400000002</v>
      </c>
      <c r="Q171" s="127"/>
      <c r="R171" s="128">
        <f>SUM(R172:R179)</f>
        <v>2.1010122</v>
      </c>
      <c r="S171" s="127"/>
      <c r="T171" s="129">
        <f>SUM(T172:T179)</f>
        <v>0</v>
      </c>
      <c r="AR171" s="123" t="s">
        <v>80</v>
      </c>
      <c r="AT171" s="130" t="s">
        <v>71</v>
      </c>
      <c r="AU171" s="130" t="s">
        <v>18</v>
      </c>
      <c r="AY171" s="123" t="s">
        <v>121</v>
      </c>
      <c r="BK171" s="131">
        <f>SUM(BK172:BK179)</f>
        <v>0</v>
      </c>
    </row>
    <row r="172" spans="1:65" s="2" customFormat="1" ht="16.5" customHeight="1">
      <c r="A172" s="26"/>
      <c r="B172" s="134"/>
      <c r="C172" s="135" t="s">
        <v>241</v>
      </c>
      <c r="D172" s="135" t="s">
        <v>124</v>
      </c>
      <c r="E172" s="136" t="s">
        <v>242</v>
      </c>
      <c r="F172" s="137" t="s">
        <v>243</v>
      </c>
      <c r="G172" s="138" t="s">
        <v>127</v>
      </c>
      <c r="H172" s="139">
        <v>108.352</v>
      </c>
      <c r="I172" s="140">
        <v>0</v>
      </c>
      <c r="J172" s="140">
        <f aca="true" t="shared" si="20" ref="J172:J179">ROUND(I172*H172,2)</f>
        <v>0</v>
      </c>
      <c r="K172" s="141"/>
      <c r="L172" s="27"/>
      <c r="M172" s="142" t="s">
        <v>1</v>
      </c>
      <c r="N172" s="143" t="s">
        <v>37</v>
      </c>
      <c r="O172" s="144">
        <v>0.044</v>
      </c>
      <c r="P172" s="144">
        <f aca="true" t="shared" si="21" ref="P172:P179">O172*H172</f>
        <v>4.767488</v>
      </c>
      <c r="Q172" s="144">
        <v>0.0003</v>
      </c>
      <c r="R172" s="144">
        <f aca="true" t="shared" si="22" ref="R172:R179">Q172*H172</f>
        <v>0.032505599999999996</v>
      </c>
      <c r="S172" s="144">
        <v>0</v>
      </c>
      <c r="T172" s="145">
        <f aca="true" t="shared" si="23" ref="T172:T179"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6" t="s">
        <v>187</v>
      </c>
      <c r="AT172" s="146" t="s">
        <v>124</v>
      </c>
      <c r="AU172" s="146" t="s">
        <v>80</v>
      </c>
      <c r="AY172" s="14" t="s">
        <v>121</v>
      </c>
      <c r="BE172" s="147">
        <f aca="true" t="shared" si="24" ref="BE172:BE179">IF(N172="základní",J172,0)</f>
        <v>0</v>
      </c>
      <c r="BF172" s="147">
        <f aca="true" t="shared" si="25" ref="BF172:BF179">IF(N172="snížená",J172,0)</f>
        <v>0</v>
      </c>
      <c r="BG172" s="147">
        <f aca="true" t="shared" si="26" ref="BG172:BG179">IF(N172="zákl. přenesená",J172,0)</f>
        <v>0</v>
      </c>
      <c r="BH172" s="147">
        <f aca="true" t="shared" si="27" ref="BH172:BH179">IF(N172="sníž. přenesená",J172,0)</f>
        <v>0</v>
      </c>
      <c r="BI172" s="147">
        <f aca="true" t="shared" si="28" ref="BI172:BI179">IF(N172="nulová",J172,0)</f>
        <v>0</v>
      </c>
      <c r="BJ172" s="14" t="s">
        <v>18</v>
      </c>
      <c r="BK172" s="147">
        <f aca="true" t="shared" si="29" ref="BK172:BK179">ROUND(I172*H172,2)</f>
        <v>0</v>
      </c>
      <c r="BL172" s="14" t="s">
        <v>187</v>
      </c>
      <c r="BM172" s="146" t="s">
        <v>244</v>
      </c>
    </row>
    <row r="173" spans="1:65" s="2" customFormat="1" ht="24" customHeight="1">
      <c r="A173" s="26"/>
      <c r="B173" s="134"/>
      <c r="C173" s="135" t="s">
        <v>245</v>
      </c>
      <c r="D173" s="135" t="s">
        <v>124</v>
      </c>
      <c r="E173" s="136" t="s">
        <v>246</v>
      </c>
      <c r="F173" s="137" t="s">
        <v>247</v>
      </c>
      <c r="G173" s="138" t="s">
        <v>127</v>
      </c>
      <c r="H173" s="139">
        <v>106.792</v>
      </c>
      <c r="I173" s="140">
        <v>0</v>
      </c>
      <c r="J173" s="140">
        <f t="shared" si="20"/>
        <v>0</v>
      </c>
      <c r="K173" s="141"/>
      <c r="L173" s="27"/>
      <c r="M173" s="142" t="s">
        <v>1</v>
      </c>
      <c r="N173" s="143" t="s">
        <v>37</v>
      </c>
      <c r="O173" s="144">
        <v>0.686</v>
      </c>
      <c r="P173" s="144">
        <f t="shared" si="21"/>
        <v>73.25931200000001</v>
      </c>
      <c r="Q173" s="144">
        <v>0.0053</v>
      </c>
      <c r="R173" s="144">
        <f t="shared" si="22"/>
        <v>0.5659976</v>
      </c>
      <c r="S173" s="144">
        <v>0</v>
      </c>
      <c r="T173" s="145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6" t="s">
        <v>187</v>
      </c>
      <c r="AT173" s="146" t="s">
        <v>124</v>
      </c>
      <c r="AU173" s="146" t="s">
        <v>80</v>
      </c>
      <c r="AY173" s="14" t="s">
        <v>121</v>
      </c>
      <c r="BE173" s="147">
        <f t="shared" si="24"/>
        <v>0</v>
      </c>
      <c r="BF173" s="147">
        <f t="shared" si="25"/>
        <v>0</v>
      </c>
      <c r="BG173" s="147">
        <f t="shared" si="26"/>
        <v>0</v>
      </c>
      <c r="BH173" s="147">
        <f t="shared" si="27"/>
        <v>0</v>
      </c>
      <c r="BI173" s="147">
        <f t="shared" si="28"/>
        <v>0</v>
      </c>
      <c r="BJ173" s="14" t="s">
        <v>18</v>
      </c>
      <c r="BK173" s="147">
        <f t="shared" si="29"/>
        <v>0</v>
      </c>
      <c r="BL173" s="14" t="s">
        <v>187</v>
      </c>
      <c r="BM173" s="146" t="s">
        <v>248</v>
      </c>
    </row>
    <row r="174" spans="1:65" s="2" customFormat="1" ht="16.5" customHeight="1">
      <c r="A174" s="26"/>
      <c r="B174" s="134"/>
      <c r="C174" s="187" t="s">
        <v>249</v>
      </c>
      <c r="D174" s="187" t="s">
        <v>250</v>
      </c>
      <c r="E174" s="188" t="s">
        <v>251</v>
      </c>
      <c r="F174" s="189" t="s">
        <v>457</v>
      </c>
      <c r="G174" s="190" t="s">
        <v>127</v>
      </c>
      <c r="H174" s="191">
        <v>117.392</v>
      </c>
      <c r="I174" s="192">
        <v>0</v>
      </c>
      <c r="J174" s="192">
        <f t="shared" si="20"/>
        <v>0</v>
      </c>
      <c r="K174" s="148"/>
      <c r="L174" s="149"/>
      <c r="M174" s="150" t="s">
        <v>1</v>
      </c>
      <c r="N174" s="151" t="s">
        <v>37</v>
      </c>
      <c r="O174" s="144">
        <v>0</v>
      </c>
      <c r="P174" s="144">
        <f t="shared" si="21"/>
        <v>0</v>
      </c>
      <c r="Q174" s="144">
        <v>0.0126</v>
      </c>
      <c r="R174" s="144">
        <f t="shared" si="22"/>
        <v>1.4791391999999999</v>
      </c>
      <c r="S174" s="144">
        <v>0</v>
      </c>
      <c r="T174" s="145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6" t="s">
        <v>252</v>
      </c>
      <c r="AT174" s="146" t="s">
        <v>250</v>
      </c>
      <c r="AU174" s="146" t="s">
        <v>80</v>
      </c>
      <c r="AY174" s="14" t="s">
        <v>121</v>
      </c>
      <c r="BE174" s="147">
        <f t="shared" si="24"/>
        <v>0</v>
      </c>
      <c r="BF174" s="147">
        <f t="shared" si="25"/>
        <v>0</v>
      </c>
      <c r="BG174" s="147">
        <f t="shared" si="26"/>
        <v>0</v>
      </c>
      <c r="BH174" s="147">
        <f t="shared" si="27"/>
        <v>0</v>
      </c>
      <c r="BI174" s="147">
        <f t="shared" si="28"/>
        <v>0</v>
      </c>
      <c r="BJ174" s="14" t="s">
        <v>18</v>
      </c>
      <c r="BK174" s="147">
        <f t="shared" si="29"/>
        <v>0</v>
      </c>
      <c r="BL174" s="14" t="s">
        <v>187</v>
      </c>
      <c r="BM174" s="146" t="s">
        <v>253</v>
      </c>
    </row>
    <row r="175" spans="1:65" s="2" customFormat="1" ht="16.5" customHeight="1">
      <c r="A175" s="26"/>
      <c r="B175" s="134"/>
      <c r="C175" s="135" t="s">
        <v>254</v>
      </c>
      <c r="D175" s="135" t="s">
        <v>124</v>
      </c>
      <c r="E175" s="136" t="s">
        <v>255</v>
      </c>
      <c r="F175" s="137" t="s">
        <v>256</v>
      </c>
      <c r="G175" s="138" t="s">
        <v>144</v>
      </c>
      <c r="H175" s="139">
        <v>14.4</v>
      </c>
      <c r="I175" s="140">
        <v>0</v>
      </c>
      <c r="J175" s="140">
        <f t="shared" si="20"/>
        <v>0</v>
      </c>
      <c r="K175" s="141"/>
      <c r="L175" s="27"/>
      <c r="M175" s="142" t="s">
        <v>1</v>
      </c>
      <c r="N175" s="143" t="s">
        <v>37</v>
      </c>
      <c r="O175" s="144">
        <v>0.248</v>
      </c>
      <c r="P175" s="144">
        <f t="shared" si="21"/>
        <v>3.5712</v>
      </c>
      <c r="Q175" s="144">
        <v>0.00031</v>
      </c>
      <c r="R175" s="144">
        <f t="shared" si="22"/>
        <v>0.004464</v>
      </c>
      <c r="S175" s="144">
        <v>0</v>
      </c>
      <c r="T175" s="145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6" t="s">
        <v>187</v>
      </c>
      <c r="AT175" s="146" t="s">
        <v>124</v>
      </c>
      <c r="AU175" s="146" t="s">
        <v>80</v>
      </c>
      <c r="AY175" s="14" t="s">
        <v>121</v>
      </c>
      <c r="BE175" s="147">
        <f t="shared" si="24"/>
        <v>0</v>
      </c>
      <c r="BF175" s="147">
        <f t="shared" si="25"/>
        <v>0</v>
      </c>
      <c r="BG175" s="147">
        <f t="shared" si="26"/>
        <v>0</v>
      </c>
      <c r="BH175" s="147">
        <f t="shared" si="27"/>
        <v>0</v>
      </c>
      <c r="BI175" s="147">
        <f t="shared" si="28"/>
        <v>0</v>
      </c>
      <c r="BJ175" s="14" t="s">
        <v>18</v>
      </c>
      <c r="BK175" s="147">
        <f t="shared" si="29"/>
        <v>0</v>
      </c>
      <c r="BL175" s="14" t="s">
        <v>187</v>
      </c>
      <c r="BM175" s="146" t="s">
        <v>257</v>
      </c>
    </row>
    <row r="176" spans="1:65" s="2" customFormat="1" ht="16.5" customHeight="1">
      <c r="A176" s="26"/>
      <c r="B176" s="134"/>
      <c r="C176" s="135" t="s">
        <v>258</v>
      </c>
      <c r="D176" s="135" t="s">
        <v>124</v>
      </c>
      <c r="E176" s="136" t="s">
        <v>259</v>
      </c>
      <c r="F176" s="137" t="s">
        <v>260</v>
      </c>
      <c r="G176" s="138" t="s">
        <v>144</v>
      </c>
      <c r="H176" s="139">
        <v>59.6</v>
      </c>
      <c r="I176" s="140">
        <v>0</v>
      </c>
      <c r="J176" s="140">
        <f t="shared" si="20"/>
        <v>0</v>
      </c>
      <c r="K176" s="141"/>
      <c r="L176" s="27"/>
      <c r="M176" s="142" t="s">
        <v>1</v>
      </c>
      <c r="N176" s="143" t="s">
        <v>37</v>
      </c>
      <c r="O176" s="144">
        <v>0.16</v>
      </c>
      <c r="P176" s="144">
        <f t="shared" si="21"/>
        <v>9.536</v>
      </c>
      <c r="Q176" s="144">
        <v>0.00026</v>
      </c>
      <c r="R176" s="144">
        <f t="shared" si="22"/>
        <v>0.015496</v>
      </c>
      <c r="S176" s="144">
        <v>0</v>
      </c>
      <c r="T176" s="145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6" t="s">
        <v>187</v>
      </c>
      <c r="AT176" s="146" t="s">
        <v>124</v>
      </c>
      <c r="AU176" s="146" t="s">
        <v>80</v>
      </c>
      <c r="AY176" s="14" t="s">
        <v>121</v>
      </c>
      <c r="BE176" s="147">
        <f t="shared" si="24"/>
        <v>0</v>
      </c>
      <c r="BF176" s="147">
        <f t="shared" si="25"/>
        <v>0</v>
      </c>
      <c r="BG176" s="147">
        <f t="shared" si="26"/>
        <v>0</v>
      </c>
      <c r="BH176" s="147">
        <f t="shared" si="27"/>
        <v>0</v>
      </c>
      <c r="BI176" s="147">
        <f t="shared" si="28"/>
        <v>0</v>
      </c>
      <c r="BJ176" s="14" t="s">
        <v>18</v>
      </c>
      <c r="BK176" s="147">
        <f t="shared" si="29"/>
        <v>0</v>
      </c>
      <c r="BL176" s="14" t="s">
        <v>187</v>
      </c>
      <c r="BM176" s="146" t="s">
        <v>261</v>
      </c>
    </row>
    <row r="177" spans="1:65" s="2" customFormat="1" ht="16.5" customHeight="1">
      <c r="A177" s="26"/>
      <c r="B177" s="134"/>
      <c r="C177" s="135" t="s">
        <v>252</v>
      </c>
      <c r="D177" s="135" t="s">
        <v>124</v>
      </c>
      <c r="E177" s="136" t="s">
        <v>262</v>
      </c>
      <c r="F177" s="137" t="s">
        <v>263</v>
      </c>
      <c r="G177" s="138" t="s">
        <v>144</v>
      </c>
      <c r="H177" s="139">
        <v>113.66</v>
      </c>
      <c r="I177" s="140">
        <v>0</v>
      </c>
      <c r="J177" s="140">
        <f t="shared" si="20"/>
        <v>0</v>
      </c>
      <c r="K177" s="141"/>
      <c r="L177" s="27"/>
      <c r="M177" s="142" t="s">
        <v>1</v>
      </c>
      <c r="N177" s="143" t="s">
        <v>37</v>
      </c>
      <c r="O177" s="144">
        <v>0.055</v>
      </c>
      <c r="P177" s="144">
        <f t="shared" si="21"/>
        <v>6.2513</v>
      </c>
      <c r="Q177" s="144">
        <v>3E-05</v>
      </c>
      <c r="R177" s="144">
        <f t="shared" si="22"/>
        <v>0.0034098</v>
      </c>
      <c r="S177" s="144">
        <v>0</v>
      </c>
      <c r="T177" s="145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6" t="s">
        <v>187</v>
      </c>
      <c r="AT177" s="146" t="s">
        <v>124</v>
      </c>
      <c r="AU177" s="146" t="s">
        <v>80</v>
      </c>
      <c r="AY177" s="14" t="s">
        <v>121</v>
      </c>
      <c r="BE177" s="147">
        <f t="shared" si="24"/>
        <v>0</v>
      </c>
      <c r="BF177" s="147">
        <f t="shared" si="25"/>
        <v>0</v>
      </c>
      <c r="BG177" s="147">
        <f t="shared" si="26"/>
        <v>0</v>
      </c>
      <c r="BH177" s="147">
        <f t="shared" si="27"/>
        <v>0</v>
      </c>
      <c r="BI177" s="147">
        <f t="shared" si="28"/>
        <v>0</v>
      </c>
      <c r="BJ177" s="14" t="s">
        <v>18</v>
      </c>
      <c r="BK177" s="147">
        <f t="shared" si="29"/>
        <v>0</v>
      </c>
      <c r="BL177" s="14" t="s">
        <v>187</v>
      </c>
      <c r="BM177" s="146" t="s">
        <v>264</v>
      </c>
    </row>
    <row r="178" spans="1:65" s="2" customFormat="1" ht="16.5" customHeight="1">
      <c r="A178" s="26"/>
      <c r="B178" s="134"/>
      <c r="C178" s="135" t="s">
        <v>265</v>
      </c>
      <c r="D178" s="135" t="s">
        <v>124</v>
      </c>
      <c r="E178" s="136" t="s">
        <v>266</v>
      </c>
      <c r="F178" s="137" t="s">
        <v>267</v>
      </c>
      <c r="G178" s="138" t="s">
        <v>268</v>
      </c>
      <c r="H178" s="139">
        <v>42</v>
      </c>
      <c r="I178" s="140">
        <v>0</v>
      </c>
      <c r="J178" s="140">
        <f t="shared" si="20"/>
        <v>0</v>
      </c>
      <c r="K178" s="141"/>
      <c r="L178" s="27"/>
      <c r="M178" s="142" t="s">
        <v>1</v>
      </c>
      <c r="N178" s="143" t="s">
        <v>37</v>
      </c>
      <c r="O178" s="144">
        <v>0.12</v>
      </c>
      <c r="P178" s="144">
        <f t="shared" si="21"/>
        <v>5.04</v>
      </c>
      <c r="Q178" s="144">
        <v>0</v>
      </c>
      <c r="R178" s="144">
        <f t="shared" si="22"/>
        <v>0</v>
      </c>
      <c r="S178" s="144">
        <v>0</v>
      </c>
      <c r="T178" s="145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6" t="s">
        <v>187</v>
      </c>
      <c r="AT178" s="146" t="s">
        <v>124</v>
      </c>
      <c r="AU178" s="146" t="s">
        <v>80</v>
      </c>
      <c r="AY178" s="14" t="s">
        <v>121</v>
      </c>
      <c r="BE178" s="147">
        <f t="shared" si="24"/>
        <v>0</v>
      </c>
      <c r="BF178" s="147">
        <f t="shared" si="25"/>
        <v>0</v>
      </c>
      <c r="BG178" s="147">
        <f t="shared" si="26"/>
        <v>0</v>
      </c>
      <c r="BH178" s="147">
        <f t="shared" si="27"/>
        <v>0</v>
      </c>
      <c r="BI178" s="147">
        <f t="shared" si="28"/>
        <v>0</v>
      </c>
      <c r="BJ178" s="14" t="s">
        <v>18</v>
      </c>
      <c r="BK178" s="147">
        <f t="shared" si="29"/>
        <v>0</v>
      </c>
      <c r="BL178" s="14" t="s">
        <v>187</v>
      </c>
      <c r="BM178" s="146" t="s">
        <v>269</v>
      </c>
    </row>
    <row r="179" spans="1:65" s="2" customFormat="1" ht="24" customHeight="1">
      <c r="A179" s="26"/>
      <c r="B179" s="134"/>
      <c r="C179" s="135" t="s">
        <v>270</v>
      </c>
      <c r="D179" s="135" t="s">
        <v>124</v>
      </c>
      <c r="E179" s="136" t="s">
        <v>271</v>
      </c>
      <c r="F179" s="137" t="s">
        <v>272</v>
      </c>
      <c r="G179" s="138" t="s">
        <v>185</v>
      </c>
      <c r="H179" s="139">
        <v>0.593</v>
      </c>
      <c r="I179" s="140">
        <v>0</v>
      </c>
      <c r="J179" s="140">
        <f t="shared" si="20"/>
        <v>0</v>
      </c>
      <c r="K179" s="141"/>
      <c r="L179" s="27"/>
      <c r="M179" s="142" t="s">
        <v>1</v>
      </c>
      <c r="N179" s="143" t="s">
        <v>37</v>
      </c>
      <c r="O179" s="144">
        <v>1.598</v>
      </c>
      <c r="P179" s="144">
        <f t="shared" si="21"/>
        <v>0.947614</v>
      </c>
      <c r="Q179" s="144">
        <v>0</v>
      </c>
      <c r="R179" s="144">
        <f t="shared" si="22"/>
        <v>0</v>
      </c>
      <c r="S179" s="144">
        <v>0</v>
      </c>
      <c r="T179" s="145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6" t="s">
        <v>187</v>
      </c>
      <c r="AT179" s="146" t="s">
        <v>124</v>
      </c>
      <c r="AU179" s="146" t="s">
        <v>80</v>
      </c>
      <c r="AY179" s="14" t="s">
        <v>121</v>
      </c>
      <c r="BE179" s="147">
        <f t="shared" si="24"/>
        <v>0</v>
      </c>
      <c r="BF179" s="147">
        <f t="shared" si="25"/>
        <v>0</v>
      </c>
      <c r="BG179" s="147">
        <f t="shared" si="26"/>
        <v>0</v>
      </c>
      <c r="BH179" s="147">
        <f t="shared" si="27"/>
        <v>0</v>
      </c>
      <c r="BI179" s="147">
        <f t="shared" si="28"/>
        <v>0</v>
      </c>
      <c r="BJ179" s="14" t="s">
        <v>18</v>
      </c>
      <c r="BK179" s="147">
        <f t="shared" si="29"/>
        <v>0</v>
      </c>
      <c r="BL179" s="14" t="s">
        <v>187</v>
      </c>
      <c r="BM179" s="146" t="s">
        <v>273</v>
      </c>
    </row>
    <row r="180" spans="2:63" s="12" customFormat="1" ht="22.9" customHeight="1">
      <c r="B180" s="122"/>
      <c r="D180" s="123" t="s">
        <v>71</v>
      </c>
      <c r="E180" s="132" t="s">
        <v>274</v>
      </c>
      <c r="F180" s="132" t="s">
        <v>275</v>
      </c>
      <c r="J180" s="133">
        <f>BK180</f>
        <v>0</v>
      </c>
      <c r="L180" s="122"/>
      <c r="M180" s="126"/>
      <c r="N180" s="127"/>
      <c r="O180" s="127"/>
      <c r="P180" s="128">
        <f>P181</f>
        <v>0.344</v>
      </c>
      <c r="Q180" s="127"/>
      <c r="R180" s="128">
        <f>R181</f>
        <v>0.00034</v>
      </c>
      <c r="S180" s="127"/>
      <c r="T180" s="129">
        <f>T181</f>
        <v>0</v>
      </c>
      <c r="AR180" s="123" t="s">
        <v>80</v>
      </c>
      <c r="AT180" s="130" t="s">
        <v>71</v>
      </c>
      <c r="AU180" s="130" t="s">
        <v>18</v>
      </c>
      <c r="AY180" s="123" t="s">
        <v>121</v>
      </c>
      <c r="BK180" s="131">
        <f>BK181</f>
        <v>0</v>
      </c>
    </row>
    <row r="181" spans="1:65" s="2" customFormat="1" ht="16.5" customHeight="1">
      <c r="A181" s="26"/>
      <c r="B181" s="134"/>
      <c r="C181" s="135" t="s">
        <v>276</v>
      </c>
      <c r="D181" s="135" t="s">
        <v>124</v>
      </c>
      <c r="E181" s="136" t="s">
        <v>451</v>
      </c>
      <c r="F181" s="137" t="s">
        <v>450</v>
      </c>
      <c r="G181" s="138" t="s">
        <v>127</v>
      </c>
      <c r="H181" s="139">
        <v>2</v>
      </c>
      <c r="I181" s="140">
        <v>0</v>
      </c>
      <c r="J181" s="140">
        <f>ROUND(I181*H181,2)</f>
        <v>0</v>
      </c>
      <c r="K181" s="141"/>
      <c r="L181" s="27"/>
      <c r="M181" s="142" t="s">
        <v>1</v>
      </c>
      <c r="N181" s="143" t="s">
        <v>37</v>
      </c>
      <c r="O181" s="144">
        <v>0.172</v>
      </c>
      <c r="P181" s="144">
        <f>O181*H181</f>
        <v>0.344</v>
      </c>
      <c r="Q181" s="144">
        <v>0.00017</v>
      </c>
      <c r="R181" s="144">
        <f>Q181*H181</f>
        <v>0.00034</v>
      </c>
      <c r="S181" s="144">
        <v>0</v>
      </c>
      <c r="T181" s="145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6" t="s">
        <v>187</v>
      </c>
      <c r="AT181" s="146" t="s">
        <v>124</v>
      </c>
      <c r="AU181" s="146" t="s">
        <v>80</v>
      </c>
      <c r="AY181" s="14" t="s">
        <v>121</v>
      </c>
      <c r="BE181" s="147">
        <f>IF(N181="základní",J181,0)</f>
        <v>0</v>
      </c>
      <c r="BF181" s="147">
        <f>IF(N181="snížená",J181,0)</f>
        <v>0</v>
      </c>
      <c r="BG181" s="147">
        <f>IF(N181="zákl. přenesená",J181,0)</f>
        <v>0</v>
      </c>
      <c r="BH181" s="147">
        <f>IF(N181="sníž. přenesená",J181,0)</f>
        <v>0</v>
      </c>
      <c r="BI181" s="147">
        <f>IF(N181="nulová",J181,0)</f>
        <v>0</v>
      </c>
      <c r="BJ181" s="14" t="s">
        <v>18</v>
      </c>
      <c r="BK181" s="147">
        <f>ROUND(I181*H181,2)</f>
        <v>0</v>
      </c>
      <c r="BL181" s="14" t="s">
        <v>187</v>
      </c>
      <c r="BM181" s="146" t="s">
        <v>277</v>
      </c>
    </row>
    <row r="182" spans="2:63" s="12" customFormat="1" ht="22.9" customHeight="1">
      <c r="B182" s="122"/>
      <c r="D182" s="123" t="s">
        <v>71</v>
      </c>
      <c r="E182" s="132" t="s">
        <v>278</v>
      </c>
      <c r="F182" s="132" t="s">
        <v>279</v>
      </c>
      <c r="J182" s="133">
        <f>BK182</f>
        <v>0</v>
      </c>
      <c r="L182" s="122"/>
      <c r="M182" s="126"/>
      <c r="N182" s="127"/>
      <c r="O182" s="127"/>
      <c r="P182" s="128">
        <f>SUM(P183:P185)</f>
        <v>27.181272</v>
      </c>
      <c r="Q182" s="127"/>
      <c r="R182" s="128">
        <f>SUM(R183:R185)</f>
        <v>0.07591755119999999</v>
      </c>
      <c r="S182" s="127"/>
      <c r="T182" s="129">
        <f>SUM(T183:T185)</f>
        <v>0.0042780000000000006</v>
      </c>
      <c r="AR182" s="123" t="s">
        <v>80</v>
      </c>
      <c r="AT182" s="130" t="s">
        <v>71</v>
      </c>
      <c r="AU182" s="130" t="s">
        <v>18</v>
      </c>
      <c r="AY182" s="123" t="s">
        <v>121</v>
      </c>
      <c r="BK182" s="131">
        <f>SUM(BK183:BK185)</f>
        <v>0</v>
      </c>
    </row>
    <row r="183" spans="1:65" s="2" customFormat="1" ht="16.5" customHeight="1">
      <c r="A183" s="26"/>
      <c r="B183" s="134"/>
      <c r="C183" s="135" t="s">
        <v>280</v>
      </c>
      <c r="D183" s="135" t="s">
        <v>124</v>
      </c>
      <c r="E183" s="136" t="s">
        <v>281</v>
      </c>
      <c r="F183" s="137" t="s">
        <v>282</v>
      </c>
      <c r="G183" s="138" t="s">
        <v>127</v>
      </c>
      <c r="H183" s="139">
        <v>13.8</v>
      </c>
      <c r="I183" s="140">
        <v>0</v>
      </c>
      <c r="J183" s="140">
        <f>ROUND(I183*H183,2)</f>
        <v>0</v>
      </c>
      <c r="K183" s="141"/>
      <c r="L183" s="27"/>
      <c r="M183" s="142" t="s">
        <v>1</v>
      </c>
      <c r="N183" s="143" t="s">
        <v>37</v>
      </c>
      <c r="O183" s="144">
        <v>0.084</v>
      </c>
      <c r="P183" s="144">
        <f>O183*H183</f>
        <v>1.1592000000000002</v>
      </c>
      <c r="Q183" s="144">
        <v>0</v>
      </c>
      <c r="R183" s="144">
        <f>Q183*H183</f>
        <v>0</v>
      </c>
      <c r="S183" s="144">
        <v>0</v>
      </c>
      <c r="T183" s="145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6" t="s">
        <v>187</v>
      </c>
      <c r="AT183" s="146" t="s">
        <v>124</v>
      </c>
      <c r="AU183" s="146" t="s">
        <v>80</v>
      </c>
      <c r="AY183" s="14" t="s">
        <v>121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4" t="s">
        <v>18</v>
      </c>
      <c r="BK183" s="147">
        <f>ROUND(I183*H183,2)</f>
        <v>0</v>
      </c>
      <c r="BL183" s="14" t="s">
        <v>187</v>
      </c>
      <c r="BM183" s="146" t="s">
        <v>283</v>
      </c>
    </row>
    <row r="184" spans="1:65" s="2" customFormat="1" ht="16.5" customHeight="1">
      <c r="A184" s="26"/>
      <c r="B184" s="134"/>
      <c r="C184" s="135" t="s">
        <v>284</v>
      </c>
      <c r="D184" s="135" t="s">
        <v>124</v>
      </c>
      <c r="E184" s="136" t="s">
        <v>285</v>
      </c>
      <c r="F184" s="137" t="s">
        <v>286</v>
      </c>
      <c r="G184" s="138" t="s">
        <v>127</v>
      </c>
      <c r="H184" s="139">
        <v>13.8</v>
      </c>
      <c r="I184" s="140">
        <v>0</v>
      </c>
      <c r="J184" s="140">
        <f>ROUND(I184*H184,2)</f>
        <v>0</v>
      </c>
      <c r="K184" s="141"/>
      <c r="L184" s="27"/>
      <c r="M184" s="142" t="s">
        <v>1</v>
      </c>
      <c r="N184" s="143" t="s">
        <v>37</v>
      </c>
      <c r="O184" s="144">
        <v>0.074</v>
      </c>
      <c r="P184" s="144">
        <f>O184*H184</f>
        <v>1.0212</v>
      </c>
      <c r="Q184" s="144">
        <v>0.001</v>
      </c>
      <c r="R184" s="144">
        <f>Q184*H184</f>
        <v>0.013800000000000002</v>
      </c>
      <c r="S184" s="144">
        <v>0.00031</v>
      </c>
      <c r="T184" s="145">
        <f>S184*H184</f>
        <v>0.0042780000000000006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6" t="s">
        <v>187</v>
      </c>
      <c r="AT184" s="146" t="s">
        <v>124</v>
      </c>
      <c r="AU184" s="146" t="s">
        <v>80</v>
      </c>
      <c r="AY184" s="14" t="s">
        <v>121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4" t="s">
        <v>18</v>
      </c>
      <c r="BK184" s="147">
        <f>ROUND(I184*H184,2)</f>
        <v>0</v>
      </c>
      <c r="BL184" s="14" t="s">
        <v>187</v>
      </c>
      <c r="BM184" s="146" t="s">
        <v>287</v>
      </c>
    </row>
    <row r="185" spans="1:65" s="2" customFormat="1" ht="24" customHeight="1">
      <c r="A185" s="26"/>
      <c r="B185" s="134"/>
      <c r="C185" s="135" t="s">
        <v>288</v>
      </c>
      <c r="D185" s="135" t="s">
        <v>124</v>
      </c>
      <c r="E185" s="136" t="s">
        <v>289</v>
      </c>
      <c r="F185" s="137" t="s">
        <v>290</v>
      </c>
      <c r="G185" s="138" t="s">
        <v>127</v>
      </c>
      <c r="H185" s="139">
        <f>H167+H168+H140</f>
        <v>240.39299999999997</v>
      </c>
      <c r="I185" s="140">
        <v>0</v>
      </c>
      <c r="J185" s="140">
        <f>ROUND(I185*H185,2)</f>
        <v>0</v>
      </c>
      <c r="K185" s="141"/>
      <c r="L185" s="27"/>
      <c r="M185" s="142" t="s">
        <v>1</v>
      </c>
      <c r="N185" s="143" t="s">
        <v>37</v>
      </c>
      <c r="O185" s="144">
        <v>0.104</v>
      </c>
      <c r="P185" s="144">
        <f>O185*H185</f>
        <v>25.000871999999998</v>
      </c>
      <c r="Q185" s="144">
        <v>0.0002584</v>
      </c>
      <c r="R185" s="144">
        <f>Q185*H185</f>
        <v>0.06211755119999999</v>
      </c>
      <c r="S185" s="144">
        <v>0</v>
      </c>
      <c r="T185" s="145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6" t="s">
        <v>187</v>
      </c>
      <c r="AT185" s="146" t="s">
        <v>124</v>
      </c>
      <c r="AU185" s="146" t="s">
        <v>80</v>
      </c>
      <c r="AY185" s="14" t="s">
        <v>121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4" t="s">
        <v>18</v>
      </c>
      <c r="BK185" s="147">
        <f>ROUND(I185*H185,2)</f>
        <v>0</v>
      </c>
      <c r="BL185" s="14" t="s">
        <v>187</v>
      </c>
      <c r="BM185" s="146" t="s">
        <v>291</v>
      </c>
    </row>
    <row r="186" spans="2:63" s="12" customFormat="1" ht="25.9" customHeight="1">
      <c r="B186" s="122"/>
      <c r="D186" s="123" t="s">
        <v>71</v>
      </c>
      <c r="E186" s="124" t="s">
        <v>292</v>
      </c>
      <c r="F186" s="124" t="s">
        <v>293</v>
      </c>
      <c r="J186" s="125">
        <f>BK186</f>
        <v>0</v>
      </c>
      <c r="L186" s="122"/>
      <c r="M186" s="126"/>
      <c r="N186" s="127"/>
      <c r="O186" s="127"/>
      <c r="P186" s="128">
        <f>P187+P189+P191+P193</f>
        <v>0</v>
      </c>
      <c r="Q186" s="127"/>
      <c r="R186" s="128">
        <f>R187+R189+R191+R193</f>
        <v>0</v>
      </c>
      <c r="S186" s="127"/>
      <c r="T186" s="129">
        <f>T187+T189+T191+T193</f>
        <v>0</v>
      </c>
      <c r="AR186" s="123" t="s">
        <v>141</v>
      </c>
      <c r="AT186" s="130" t="s">
        <v>71</v>
      </c>
      <c r="AU186" s="130" t="s">
        <v>72</v>
      </c>
      <c r="AY186" s="123" t="s">
        <v>121</v>
      </c>
      <c r="BK186" s="131">
        <f>BK187+BK189+BK191+BK193</f>
        <v>0</v>
      </c>
    </row>
    <row r="187" spans="2:63" s="12" customFormat="1" ht="22.9" customHeight="1">
      <c r="B187" s="122"/>
      <c r="D187" s="123" t="s">
        <v>71</v>
      </c>
      <c r="E187" s="132" t="s">
        <v>294</v>
      </c>
      <c r="F187" s="132" t="s">
        <v>295</v>
      </c>
      <c r="J187" s="133">
        <f>BK187</f>
        <v>0</v>
      </c>
      <c r="L187" s="122"/>
      <c r="M187" s="126"/>
      <c r="N187" s="127"/>
      <c r="O187" s="127"/>
      <c r="P187" s="128">
        <f>P188</f>
        <v>0</v>
      </c>
      <c r="Q187" s="127"/>
      <c r="R187" s="128">
        <f>R188</f>
        <v>0</v>
      </c>
      <c r="S187" s="127"/>
      <c r="T187" s="129">
        <f>T188</f>
        <v>0</v>
      </c>
      <c r="AR187" s="123" t="s">
        <v>141</v>
      </c>
      <c r="AT187" s="130" t="s">
        <v>71</v>
      </c>
      <c r="AU187" s="130" t="s">
        <v>18</v>
      </c>
      <c r="AY187" s="123" t="s">
        <v>121</v>
      </c>
      <c r="BK187" s="131">
        <f>BK188</f>
        <v>0</v>
      </c>
    </row>
    <row r="188" spans="1:65" s="2" customFormat="1" ht="16.5" customHeight="1">
      <c r="A188" s="26"/>
      <c r="B188" s="134"/>
      <c r="C188" s="135" t="s">
        <v>296</v>
      </c>
      <c r="D188" s="135" t="s">
        <v>124</v>
      </c>
      <c r="E188" s="136" t="s">
        <v>297</v>
      </c>
      <c r="F188" s="137" t="s">
        <v>298</v>
      </c>
      <c r="G188" s="138" t="s">
        <v>299</v>
      </c>
      <c r="H188" s="139">
        <v>1</v>
      </c>
      <c r="I188" s="140">
        <v>0</v>
      </c>
      <c r="J188" s="140">
        <f>ROUND(I188*H188,2)</f>
        <v>0</v>
      </c>
      <c r="K188" s="141"/>
      <c r="L188" s="27"/>
      <c r="M188" s="142" t="s">
        <v>1</v>
      </c>
      <c r="N188" s="143" t="s">
        <v>37</v>
      </c>
      <c r="O188" s="144">
        <v>0</v>
      </c>
      <c r="P188" s="144">
        <f>O188*H188</f>
        <v>0</v>
      </c>
      <c r="Q188" s="144">
        <v>0</v>
      </c>
      <c r="R188" s="144">
        <f>Q188*H188</f>
        <v>0</v>
      </c>
      <c r="S188" s="144">
        <v>0</v>
      </c>
      <c r="T188" s="145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6" t="s">
        <v>300</v>
      </c>
      <c r="AT188" s="146" t="s">
        <v>124</v>
      </c>
      <c r="AU188" s="146" t="s">
        <v>80</v>
      </c>
      <c r="AY188" s="14" t="s">
        <v>121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4" t="s">
        <v>18</v>
      </c>
      <c r="BK188" s="147">
        <f>ROUND(I188*H188,2)</f>
        <v>0</v>
      </c>
      <c r="BL188" s="14" t="s">
        <v>300</v>
      </c>
      <c r="BM188" s="146" t="s">
        <v>301</v>
      </c>
    </row>
    <row r="189" spans="2:63" s="12" customFormat="1" ht="22.9" customHeight="1">
      <c r="B189" s="122"/>
      <c r="D189" s="123" t="s">
        <v>71</v>
      </c>
      <c r="E189" s="132" t="s">
        <v>302</v>
      </c>
      <c r="F189" s="132" t="s">
        <v>303</v>
      </c>
      <c r="J189" s="133">
        <f>BK189</f>
        <v>0</v>
      </c>
      <c r="L189" s="122"/>
      <c r="M189" s="126"/>
      <c r="N189" s="127"/>
      <c r="O189" s="127"/>
      <c r="P189" s="128">
        <f>P190</f>
        <v>0</v>
      </c>
      <c r="Q189" s="127"/>
      <c r="R189" s="128">
        <f>R190</f>
        <v>0</v>
      </c>
      <c r="S189" s="127"/>
      <c r="T189" s="129">
        <f>T190</f>
        <v>0</v>
      </c>
      <c r="AR189" s="123" t="s">
        <v>141</v>
      </c>
      <c r="AT189" s="130" t="s">
        <v>71</v>
      </c>
      <c r="AU189" s="130" t="s">
        <v>18</v>
      </c>
      <c r="AY189" s="123" t="s">
        <v>121</v>
      </c>
      <c r="BK189" s="131">
        <f>BK190</f>
        <v>0</v>
      </c>
    </row>
    <row r="190" spans="1:65" s="2" customFormat="1" ht="16.5" customHeight="1">
      <c r="A190" s="26"/>
      <c r="B190" s="134"/>
      <c r="C190" s="135" t="s">
        <v>304</v>
      </c>
      <c r="D190" s="135" t="s">
        <v>124</v>
      </c>
      <c r="E190" s="136" t="s">
        <v>305</v>
      </c>
      <c r="F190" s="137" t="s">
        <v>303</v>
      </c>
      <c r="G190" s="138" t="s">
        <v>299</v>
      </c>
      <c r="H190" s="139">
        <v>1</v>
      </c>
      <c r="I190" s="140">
        <v>0</v>
      </c>
      <c r="J190" s="140">
        <f>ROUND(I190*H190,2)</f>
        <v>0</v>
      </c>
      <c r="K190" s="141"/>
      <c r="L190" s="27"/>
      <c r="M190" s="142" t="s">
        <v>1</v>
      </c>
      <c r="N190" s="143" t="s">
        <v>37</v>
      </c>
      <c r="O190" s="144">
        <v>0</v>
      </c>
      <c r="P190" s="144">
        <f>O190*H190</f>
        <v>0</v>
      </c>
      <c r="Q190" s="144">
        <v>0</v>
      </c>
      <c r="R190" s="144">
        <f>Q190*H190</f>
        <v>0</v>
      </c>
      <c r="S190" s="144">
        <v>0</v>
      </c>
      <c r="T190" s="145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6" t="s">
        <v>300</v>
      </c>
      <c r="AT190" s="146" t="s">
        <v>124</v>
      </c>
      <c r="AU190" s="146" t="s">
        <v>80</v>
      </c>
      <c r="AY190" s="14" t="s">
        <v>121</v>
      </c>
      <c r="BE190" s="147">
        <f>IF(N190="základní",J190,0)</f>
        <v>0</v>
      </c>
      <c r="BF190" s="147">
        <f>IF(N190="snížená",J190,0)</f>
        <v>0</v>
      </c>
      <c r="BG190" s="147">
        <f>IF(N190="zákl. přenesená",J190,0)</f>
        <v>0</v>
      </c>
      <c r="BH190" s="147">
        <f>IF(N190="sníž. přenesená",J190,0)</f>
        <v>0</v>
      </c>
      <c r="BI190" s="147">
        <f>IF(N190="nulová",J190,0)</f>
        <v>0</v>
      </c>
      <c r="BJ190" s="14" t="s">
        <v>18</v>
      </c>
      <c r="BK190" s="147">
        <f>ROUND(I190*H190,2)</f>
        <v>0</v>
      </c>
      <c r="BL190" s="14" t="s">
        <v>300</v>
      </c>
      <c r="BM190" s="146" t="s">
        <v>306</v>
      </c>
    </row>
    <row r="191" spans="2:63" s="12" customFormat="1" ht="22.9" customHeight="1">
      <c r="B191" s="122"/>
      <c r="D191" s="123" t="s">
        <v>71</v>
      </c>
      <c r="E191" s="132" t="s">
        <v>307</v>
      </c>
      <c r="F191" s="132" t="s">
        <v>308</v>
      </c>
      <c r="J191" s="133">
        <f>BK191</f>
        <v>0</v>
      </c>
      <c r="L191" s="122"/>
      <c r="M191" s="126"/>
      <c r="N191" s="127"/>
      <c r="O191" s="127"/>
      <c r="P191" s="128">
        <f>P192</f>
        <v>0</v>
      </c>
      <c r="Q191" s="127"/>
      <c r="R191" s="128">
        <f>R192</f>
        <v>0</v>
      </c>
      <c r="S191" s="127"/>
      <c r="T191" s="129">
        <f>T192</f>
        <v>0</v>
      </c>
      <c r="AR191" s="123" t="s">
        <v>141</v>
      </c>
      <c r="AT191" s="130" t="s">
        <v>71</v>
      </c>
      <c r="AU191" s="130" t="s">
        <v>18</v>
      </c>
      <c r="AY191" s="123" t="s">
        <v>121</v>
      </c>
      <c r="BK191" s="131">
        <f>BK192</f>
        <v>0</v>
      </c>
    </row>
    <row r="192" spans="1:65" s="2" customFormat="1" ht="16.5" customHeight="1">
      <c r="A192" s="26"/>
      <c r="B192" s="134"/>
      <c r="C192" s="135" t="s">
        <v>309</v>
      </c>
      <c r="D192" s="135" t="s">
        <v>124</v>
      </c>
      <c r="E192" s="136" t="s">
        <v>310</v>
      </c>
      <c r="F192" s="137" t="s">
        <v>308</v>
      </c>
      <c r="G192" s="138" t="s">
        <v>299</v>
      </c>
      <c r="H192" s="139">
        <v>1</v>
      </c>
      <c r="I192" s="140">
        <v>0</v>
      </c>
      <c r="J192" s="140">
        <f>ROUND(I192*H192,2)</f>
        <v>0</v>
      </c>
      <c r="K192" s="141"/>
      <c r="L192" s="27"/>
      <c r="M192" s="142" t="s">
        <v>1</v>
      </c>
      <c r="N192" s="143" t="s">
        <v>37</v>
      </c>
      <c r="O192" s="144">
        <v>0</v>
      </c>
      <c r="P192" s="144">
        <f>O192*H192</f>
        <v>0</v>
      </c>
      <c r="Q192" s="144">
        <v>0</v>
      </c>
      <c r="R192" s="144">
        <f>Q192*H192</f>
        <v>0</v>
      </c>
      <c r="S192" s="144">
        <v>0</v>
      </c>
      <c r="T192" s="145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6" t="s">
        <v>300</v>
      </c>
      <c r="AT192" s="146" t="s">
        <v>124</v>
      </c>
      <c r="AU192" s="146" t="s">
        <v>80</v>
      </c>
      <c r="AY192" s="14" t="s">
        <v>121</v>
      </c>
      <c r="BE192" s="147">
        <f>IF(N192="základní",J192,0)</f>
        <v>0</v>
      </c>
      <c r="BF192" s="147">
        <f>IF(N192="snížená",J192,0)</f>
        <v>0</v>
      </c>
      <c r="BG192" s="147">
        <f>IF(N192="zákl. přenesená",J192,0)</f>
        <v>0</v>
      </c>
      <c r="BH192" s="147">
        <f>IF(N192="sníž. přenesená",J192,0)</f>
        <v>0</v>
      </c>
      <c r="BI192" s="147">
        <f>IF(N192="nulová",J192,0)</f>
        <v>0</v>
      </c>
      <c r="BJ192" s="14" t="s">
        <v>18</v>
      </c>
      <c r="BK192" s="147">
        <f>ROUND(I192*H192,2)</f>
        <v>0</v>
      </c>
      <c r="BL192" s="14" t="s">
        <v>300</v>
      </c>
      <c r="BM192" s="146" t="s">
        <v>311</v>
      </c>
    </row>
    <row r="193" spans="2:63" s="12" customFormat="1" ht="22.9" customHeight="1">
      <c r="B193" s="122"/>
      <c r="D193" s="123" t="s">
        <v>71</v>
      </c>
      <c r="E193" s="132" t="s">
        <v>312</v>
      </c>
      <c r="F193" s="132" t="s">
        <v>313</v>
      </c>
      <c r="J193" s="133">
        <f>BK193</f>
        <v>0</v>
      </c>
      <c r="L193" s="122"/>
      <c r="M193" s="126"/>
      <c r="N193" s="127"/>
      <c r="O193" s="127"/>
      <c r="P193" s="128">
        <f>P194</f>
        <v>0</v>
      </c>
      <c r="Q193" s="127"/>
      <c r="R193" s="128">
        <f>R194</f>
        <v>0</v>
      </c>
      <c r="S193" s="127"/>
      <c r="T193" s="129">
        <f>T194</f>
        <v>0</v>
      </c>
      <c r="AR193" s="123" t="s">
        <v>141</v>
      </c>
      <c r="AT193" s="130" t="s">
        <v>71</v>
      </c>
      <c r="AU193" s="130" t="s">
        <v>18</v>
      </c>
      <c r="AY193" s="123" t="s">
        <v>121</v>
      </c>
      <c r="BK193" s="131">
        <f>BK194</f>
        <v>0</v>
      </c>
    </row>
    <row r="194" spans="1:65" s="2" customFormat="1" ht="16.5" customHeight="1">
      <c r="A194" s="26"/>
      <c r="B194" s="134"/>
      <c r="C194" s="135" t="s">
        <v>314</v>
      </c>
      <c r="D194" s="135" t="s">
        <v>124</v>
      </c>
      <c r="E194" s="136" t="s">
        <v>315</v>
      </c>
      <c r="F194" s="137" t="s">
        <v>313</v>
      </c>
      <c r="G194" s="138" t="s">
        <v>299</v>
      </c>
      <c r="H194" s="139">
        <v>1</v>
      </c>
      <c r="I194" s="140">
        <v>0</v>
      </c>
      <c r="J194" s="140">
        <f>ROUND(I194*H194,2)</f>
        <v>0</v>
      </c>
      <c r="K194" s="141"/>
      <c r="L194" s="27"/>
      <c r="M194" s="152" t="s">
        <v>1</v>
      </c>
      <c r="N194" s="153" t="s">
        <v>37</v>
      </c>
      <c r="O194" s="154">
        <v>0</v>
      </c>
      <c r="P194" s="154">
        <f>O194*H194</f>
        <v>0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6" t="s">
        <v>300</v>
      </c>
      <c r="AT194" s="146" t="s">
        <v>124</v>
      </c>
      <c r="AU194" s="146" t="s">
        <v>80</v>
      </c>
      <c r="AY194" s="14" t="s">
        <v>121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4" t="s">
        <v>18</v>
      </c>
      <c r="BK194" s="147">
        <f>ROUND(I194*H194,2)</f>
        <v>0</v>
      </c>
      <c r="BL194" s="14" t="s">
        <v>300</v>
      </c>
      <c r="BM194" s="146" t="s">
        <v>316</v>
      </c>
    </row>
    <row r="195" spans="1:31" s="2" customFormat="1" ht="6.95" customHeight="1">
      <c r="A195" s="26"/>
      <c r="B195" s="41"/>
      <c r="C195" s="42"/>
      <c r="D195" s="42"/>
      <c r="E195" s="42"/>
      <c r="F195" s="42"/>
      <c r="G195" s="42"/>
      <c r="H195" s="42"/>
      <c r="I195" s="42"/>
      <c r="J195" s="42"/>
      <c r="K195" s="42"/>
      <c r="L195" s="27"/>
      <c r="M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7" spans="3:11" ht="12">
      <c r="C197" s="227" t="s">
        <v>456</v>
      </c>
      <c r="D197" s="228"/>
      <c r="E197" s="228"/>
      <c r="F197" s="228"/>
      <c r="G197" s="228"/>
      <c r="H197" s="228"/>
      <c r="I197" s="228"/>
      <c r="J197" s="228"/>
      <c r="K197" s="228"/>
    </row>
    <row r="198" spans="3:11" ht="12">
      <c r="C198" s="228"/>
      <c r="D198" s="228"/>
      <c r="E198" s="228"/>
      <c r="F198" s="228"/>
      <c r="G198" s="228"/>
      <c r="H198" s="228"/>
      <c r="I198" s="228"/>
      <c r="J198" s="228"/>
      <c r="K198" s="228"/>
    </row>
    <row r="199" spans="3:11" ht="12">
      <c r="C199" s="228"/>
      <c r="D199" s="228"/>
      <c r="E199" s="228"/>
      <c r="F199" s="228"/>
      <c r="G199" s="228"/>
      <c r="H199" s="228"/>
      <c r="I199" s="228"/>
      <c r="J199" s="228"/>
      <c r="K199" s="228"/>
    </row>
    <row r="200" spans="3:11" ht="12">
      <c r="C200" s="228"/>
      <c r="D200" s="228"/>
      <c r="E200" s="228"/>
      <c r="F200" s="228"/>
      <c r="G200" s="228"/>
      <c r="H200" s="228"/>
      <c r="I200" s="228"/>
      <c r="J200" s="228"/>
      <c r="K200" s="228"/>
    </row>
    <row r="201" spans="3:11" ht="12">
      <c r="C201" s="228"/>
      <c r="D201" s="228"/>
      <c r="E201" s="228"/>
      <c r="F201" s="228"/>
      <c r="G201" s="228"/>
      <c r="H201" s="228"/>
      <c r="I201" s="228"/>
      <c r="J201" s="228"/>
      <c r="K201" s="228"/>
    </row>
    <row r="202" spans="3:11" ht="12">
      <c r="C202" s="228"/>
      <c r="D202" s="228"/>
      <c r="E202" s="228"/>
      <c r="F202" s="228"/>
      <c r="G202" s="228"/>
      <c r="H202" s="228"/>
      <c r="I202" s="228"/>
      <c r="J202" s="228"/>
      <c r="K202" s="228"/>
    </row>
    <row r="203" spans="3:11" ht="12">
      <c r="C203" s="228"/>
      <c r="D203" s="228"/>
      <c r="E203" s="228"/>
      <c r="F203" s="228"/>
      <c r="G203" s="228"/>
      <c r="H203" s="228"/>
      <c r="I203" s="228"/>
      <c r="J203" s="228"/>
      <c r="K203" s="228"/>
    </row>
    <row r="204" spans="3:11" ht="12">
      <c r="C204" s="228"/>
      <c r="D204" s="228"/>
      <c r="E204" s="228"/>
      <c r="F204" s="228"/>
      <c r="G204" s="228"/>
      <c r="H204" s="228"/>
      <c r="I204" s="228"/>
      <c r="J204" s="228"/>
      <c r="K204" s="228"/>
    </row>
    <row r="205" spans="3:11" ht="12">
      <c r="C205" s="228"/>
      <c r="D205" s="228"/>
      <c r="E205" s="228"/>
      <c r="F205" s="228"/>
      <c r="G205" s="228"/>
      <c r="H205" s="228"/>
      <c r="I205" s="228"/>
      <c r="J205" s="228"/>
      <c r="K205" s="228"/>
    </row>
    <row r="206" spans="3:11" ht="12">
      <c r="C206" s="228"/>
      <c r="D206" s="228"/>
      <c r="E206" s="228"/>
      <c r="F206" s="228"/>
      <c r="G206" s="228"/>
      <c r="H206" s="228"/>
      <c r="I206" s="228"/>
      <c r="J206" s="228"/>
      <c r="K206" s="228"/>
    </row>
    <row r="207" spans="3:11" ht="12">
      <c r="C207" s="228"/>
      <c r="D207" s="228"/>
      <c r="E207" s="228"/>
      <c r="F207" s="228"/>
      <c r="G207" s="228"/>
      <c r="H207" s="228"/>
      <c r="I207" s="228"/>
      <c r="J207" s="228"/>
      <c r="K207" s="228"/>
    </row>
    <row r="208" spans="3:11" ht="12">
      <c r="C208" s="228"/>
      <c r="D208" s="228"/>
      <c r="E208" s="228"/>
      <c r="F208" s="228"/>
      <c r="G208" s="228"/>
      <c r="H208" s="228"/>
      <c r="I208" s="228"/>
      <c r="J208" s="228"/>
      <c r="K208" s="228"/>
    </row>
    <row r="209" spans="3:11" ht="12">
      <c r="C209" s="228"/>
      <c r="D209" s="228"/>
      <c r="E209" s="228"/>
      <c r="F209" s="228"/>
      <c r="G209" s="228"/>
      <c r="H209" s="228"/>
      <c r="I209" s="228"/>
      <c r="J209" s="228"/>
      <c r="K209" s="228"/>
    </row>
    <row r="210" spans="3:11" ht="12">
      <c r="C210" s="228"/>
      <c r="D210" s="228"/>
      <c r="E210" s="228"/>
      <c r="F210" s="228"/>
      <c r="G210" s="228"/>
      <c r="H210" s="228"/>
      <c r="I210" s="228"/>
      <c r="J210" s="228"/>
      <c r="K210" s="228"/>
    </row>
    <row r="211" spans="3:11" ht="12">
      <c r="C211" s="228"/>
      <c r="D211" s="228"/>
      <c r="E211" s="228"/>
      <c r="F211" s="228"/>
      <c r="G211" s="228"/>
      <c r="H211" s="228"/>
      <c r="I211" s="228"/>
      <c r="J211" s="228"/>
      <c r="K211" s="228"/>
    </row>
    <row r="212" spans="3:11" ht="12">
      <c r="C212" s="228"/>
      <c r="D212" s="228"/>
      <c r="E212" s="228"/>
      <c r="F212" s="228"/>
      <c r="G212" s="228"/>
      <c r="H212" s="228"/>
      <c r="I212" s="228"/>
      <c r="J212" s="228"/>
      <c r="K212" s="228"/>
    </row>
    <row r="213" spans="3:11" ht="12">
      <c r="C213" s="228"/>
      <c r="D213" s="228"/>
      <c r="E213" s="228"/>
      <c r="F213" s="228"/>
      <c r="G213" s="228"/>
      <c r="H213" s="228"/>
      <c r="I213" s="228"/>
      <c r="J213" s="228"/>
      <c r="K213" s="228"/>
    </row>
    <row r="214" spans="3:11" ht="12">
      <c r="C214" s="228"/>
      <c r="D214" s="228"/>
      <c r="E214" s="228"/>
      <c r="F214" s="228"/>
      <c r="G214" s="228"/>
      <c r="H214" s="228"/>
      <c r="I214" s="228"/>
      <c r="J214" s="228"/>
      <c r="K214" s="228"/>
    </row>
    <row r="215" spans="3:11" ht="12">
      <c r="C215" s="228"/>
      <c r="D215" s="228"/>
      <c r="E215" s="228"/>
      <c r="F215" s="228"/>
      <c r="G215" s="228"/>
      <c r="H215" s="228"/>
      <c r="I215" s="228"/>
      <c r="J215" s="228"/>
      <c r="K215" s="228"/>
    </row>
    <row r="216" spans="3:11" ht="12">
      <c r="C216" s="228"/>
      <c r="D216" s="228"/>
      <c r="E216" s="228"/>
      <c r="F216" s="228"/>
      <c r="G216" s="228"/>
      <c r="H216" s="228"/>
      <c r="I216" s="228"/>
      <c r="J216" s="228"/>
      <c r="K216" s="228"/>
    </row>
  </sheetData>
  <autoFilter ref="C133:K194"/>
  <mergeCells count="9">
    <mergeCell ref="C197:K216"/>
    <mergeCell ref="E124:H124"/>
    <mergeCell ref="E126:H126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7"/>
  <sheetViews>
    <sheetView tabSelected="1" view="pageLayout" workbookViewId="0" topLeftCell="A16">
      <selection activeCell="G44" sqref="G44"/>
    </sheetView>
  </sheetViews>
  <sheetFormatPr defaultColWidth="13.57421875" defaultRowHeight="12"/>
  <cols>
    <col min="1" max="1" width="4.28125" style="156" customWidth="1"/>
    <col min="2" max="2" width="8.8515625" style="156" customWidth="1"/>
    <col min="3" max="3" width="16.7109375" style="156" customWidth="1"/>
    <col min="4" max="4" width="91.28125" style="156" customWidth="1"/>
    <col min="5" max="5" width="5.00390625" style="156" customWidth="1"/>
    <col min="6" max="6" width="15.00390625" style="156" customWidth="1"/>
    <col min="7" max="7" width="14.00390625" style="156" customWidth="1"/>
    <col min="8" max="10" width="16.7109375" style="156" customWidth="1"/>
    <col min="11" max="13" width="13.7109375" style="156" customWidth="1"/>
    <col min="14" max="21" width="13.421875" style="156" customWidth="1"/>
    <col min="22" max="59" width="13.57421875" style="156" hidden="1" customWidth="1"/>
    <col min="60" max="253" width="13.421875" style="156" customWidth="1"/>
    <col min="254" max="254" width="4.28125" style="156" customWidth="1"/>
    <col min="255" max="255" width="8.8515625" style="156" customWidth="1"/>
    <col min="256" max="256" width="16.7109375" style="156" customWidth="1"/>
    <col min="257" max="257" width="91.28125" style="156" customWidth="1"/>
    <col min="258" max="258" width="5.00390625" style="156" customWidth="1"/>
    <col min="259" max="259" width="15.00390625" style="156" customWidth="1"/>
    <col min="260" max="260" width="14.00390625" style="156" customWidth="1"/>
    <col min="261" max="263" width="16.7109375" style="156" customWidth="1"/>
    <col min="264" max="266" width="13.7109375" style="156" customWidth="1"/>
    <col min="267" max="277" width="13.421875" style="156" customWidth="1"/>
    <col min="278" max="315" width="13.57421875" style="156" hidden="1" customWidth="1"/>
    <col min="316" max="509" width="13.421875" style="156" customWidth="1"/>
    <col min="510" max="510" width="4.28125" style="156" customWidth="1"/>
    <col min="511" max="511" width="8.8515625" style="156" customWidth="1"/>
    <col min="512" max="512" width="16.7109375" style="156" customWidth="1"/>
    <col min="513" max="513" width="91.28125" style="156" customWidth="1"/>
    <col min="514" max="514" width="5.00390625" style="156" customWidth="1"/>
    <col min="515" max="515" width="15.00390625" style="156" customWidth="1"/>
    <col min="516" max="516" width="14.00390625" style="156" customWidth="1"/>
    <col min="517" max="519" width="16.7109375" style="156" customWidth="1"/>
    <col min="520" max="522" width="13.7109375" style="156" customWidth="1"/>
    <col min="523" max="533" width="13.421875" style="156" customWidth="1"/>
    <col min="534" max="571" width="13.57421875" style="156" hidden="1" customWidth="1"/>
    <col min="572" max="765" width="13.421875" style="156" customWidth="1"/>
    <col min="766" max="766" width="4.28125" style="156" customWidth="1"/>
    <col min="767" max="767" width="8.8515625" style="156" customWidth="1"/>
    <col min="768" max="768" width="16.7109375" style="156" customWidth="1"/>
    <col min="769" max="769" width="91.28125" style="156" customWidth="1"/>
    <col min="770" max="770" width="5.00390625" style="156" customWidth="1"/>
    <col min="771" max="771" width="15.00390625" style="156" customWidth="1"/>
    <col min="772" max="772" width="14.00390625" style="156" customWidth="1"/>
    <col min="773" max="775" width="16.7109375" style="156" customWidth="1"/>
    <col min="776" max="778" width="13.7109375" style="156" customWidth="1"/>
    <col min="779" max="789" width="13.421875" style="156" customWidth="1"/>
    <col min="790" max="827" width="13.57421875" style="156" hidden="1" customWidth="1"/>
    <col min="828" max="1021" width="13.421875" style="156" customWidth="1"/>
    <col min="1022" max="1022" width="4.28125" style="156" customWidth="1"/>
    <col min="1023" max="1023" width="8.8515625" style="156" customWidth="1"/>
    <col min="1024" max="1024" width="16.7109375" style="156" customWidth="1"/>
    <col min="1025" max="1025" width="91.28125" style="156" customWidth="1"/>
    <col min="1026" max="1026" width="5.00390625" style="156" customWidth="1"/>
    <col min="1027" max="1027" width="15.00390625" style="156" customWidth="1"/>
    <col min="1028" max="1028" width="14.00390625" style="156" customWidth="1"/>
    <col min="1029" max="1031" width="16.7109375" style="156" customWidth="1"/>
    <col min="1032" max="1034" width="13.7109375" style="156" customWidth="1"/>
    <col min="1035" max="1045" width="13.421875" style="156" customWidth="1"/>
    <col min="1046" max="1083" width="13.57421875" style="156" hidden="1" customWidth="1"/>
    <col min="1084" max="1277" width="13.421875" style="156" customWidth="1"/>
    <col min="1278" max="1278" width="4.28125" style="156" customWidth="1"/>
    <col min="1279" max="1279" width="8.8515625" style="156" customWidth="1"/>
    <col min="1280" max="1280" width="16.7109375" style="156" customWidth="1"/>
    <col min="1281" max="1281" width="91.28125" style="156" customWidth="1"/>
    <col min="1282" max="1282" width="5.00390625" style="156" customWidth="1"/>
    <col min="1283" max="1283" width="15.00390625" style="156" customWidth="1"/>
    <col min="1284" max="1284" width="14.00390625" style="156" customWidth="1"/>
    <col min="1285" max="1287" width="16.7109375" style="156" customWidth="1"/>
    <col min="1288" max="1290" width="13.7109375" style="156" customWidth="1"/>
    <col min="1291" max="1301" width="13.421875" style="156" customWidth="1"/>
    <col min="1302" max="1339" width="13.57421875" style="156" hidden="1" customWidth="1"/>
    <col min="1340" max="1533" width="13.421875" style="156" customWidth="1"/>
    <col min="1534" max="1534" width="4.28125" style="156" customWidth="1"/>
    <col min="1535" max="1535" width="8.8515625" style="156" customWidth="1"/>
    <col min="1536" max="1536" width="16.7109375" style="156" customWidth="1"/>
    <col min="1537" max="1537" width="91.28125" style="156" customWidth="1"/>
    <col min="1538" max="1538" width="5.00390625" style="156" customWidth="1"/>
    <col min="1539" max="1539" width="15.00390625" style="156" customWidth="1"/>
    <col min="1540" max="1540" width="14.00390625" style="156" customWidth="1"/>
    <col min="1541" max="1543" width="16.7109375" style="156" customWidth="1"/>
    <col min="1544" max="1546" width="13.7109375" style="156" customWidth="1"/>
    <col min="1547" max="1557" width="13.421875" style="156" customWidth="1"/>
    <col min="1558" max="1595" width="13.57421875" style="156" hidden="1" customWidth="1"/>
    <col min="1596" max="1789" width="13.421875" style="156" customWidth="1"/>
    <col min="1790" max="1790" width="4.28125" style="156" customWidth="1"/>
    <col min="1791" max="1791" width="8.8515625" style="156" customWidth="1"/>
    <col min="1792" max="1792" width="16.7109375" style="156" customWidth="1"/>
    <col min="1793" max="1793" width="91.28125" style="156" customWidth="1"/>
    <col min="1794" max="1794" width="5.00390625" style="156" customWidth="1"/>
    <col min="1795" max="1795" width="15.00390625" style="156" customWidth="1"/>
    <col min="1796" max="1796" width="14.00390625" style="156" customWidth="1"/>
    <col min="1797" max="1799" width="16.7109375" style="156" customWidth="1"/>
    <col min="1800" max="1802" width="13.7109375" style="156" customWidth="1"/>
    <col min="1803" max="1813" width="13.421875" style="156" customWidth="1"/>
    <col min="1814" max="1851" width="13.57421875" style="156" hidden="1" customWidth="1"/>
    <col min="1852" max="2045" width="13.421875" style="156" customWidth="1"/>
    <col min="2046" max="2046" width="4.28125" style="156" customWidth="1"/>
    <col min="2047" max="2047" width="8.8515625" style="156" customWidth="1"/>
    <col min="2048" max="2048" width="16.7109375" style="156" customWidth="1"/>
    <col min="2049" max="2049" width="91.28125" style="156" customWidth="1"/>
    <col min="2050" max="2050" width="5.00390625" style="156" customWidth="1"/>
    <col min="2051" max="2051" width="15.00390625" style="156" customWidth="1"/>
    <col min="2052" max="2052" width="14.00390625" style="156" customWidth="1"/>
    <col min="2053" max="2055" width="16.7109375" style="156" customWidth="1"/>
    <col min="2056" max="2058" width="13.7109375" style="156" customWidth="1"/>
    <col min="2059" max="2069" width="13.421875" style="156" customWidth="1"/>
    <col min="2070" max="2107" width="13.57421875" style="156" hidden="1" customWidth="1"/>
    <col min="2108" max="2301" width="13.421875" style="156" customWidth="1"/>
    <col min="2302" max="2302" width="4.28125" style="156" customWidth="1"/>
    <col min="2303" max="2303" width="8.8515625" style="156" customWidth="1"/>
    <col min="2304" max="2304" width="16.7109375" style="156" customWidth="1"/>
    <col min="2305" max="2305" width="91.28125" style="156" customWidth="1"/>
    <col min="2306" max="2306" width="5.00390625" style="156" customWidth="1"/>
    <col min="2307" max="2307" width="15.00390625" style="156" customWidth="1"/>
    <col min="2308" max="2308" width="14.00390625" style="156" customWidth="1"/>
    <col min="2309" max="2311" width="16.7109375" style="156" customWidth="1"/>
    <col min="2312" max="2314" width="13.7109375" style="156" customWidth="1"/>
    <col min="2315" max="2325" width="13.421875" style="156" customWidth="1"/>
    <col min="2326" max="2363" width="13.57421875" style="156" hidden="1" customWidth="1"/>
    <col min="2364" max="2557" width="13.421875" style="156" customWidth="1"/>
    <col min="2558" max="2558" width="4.28125" style="156" customWidth="1"/>
    <col min="2559" max="2559" width="8.8515625" style="156" customWidth="1"/>
    <col min="2560" max="2560" width="16.7109375" style="156" customWidth="1"/>
    <col min="2561" max="2561" width="91.28125" style="156" customWidth="1"/>
    <col min="2562" max="2562" width="5.00390625" style="156" customWidth="1"/>
    <col min="2563" max="2563" width="15.00390625" style="156" customWidth="1"/>
    <col min="2564" max="2564" width="14.00390625" style="156" customWidth="1"/>
    <col min="2565" max="2567" width="16.7109375" style="156" customWidth="1"/>
    <col min="2568" max="2570" width="13.7109375" style="156" customWidth="1"/>
    <col min="2571" max="2581" width="13.421875" style="156" customWidth="1"/>
    <col min="2582" max="2619" width="13.57421875" style="156" hidden="1" customWidth="1"/>
    <col min="2620" max="2813" width="13.421875" style="156" customWidth="1"/>
    <col min="2814" max="2814" width="4.28125" style="156" customWidth="1"/>
    <col min="2815" max="2815" width="8.8515625" style="156" customWidth="1"/>
    <col min="2816" max="2816" width="16.7109375" style="156" customWidth="1"/>
    <col min="2817" max="2817" width="91.28125" style="156" customWidth="1"/>
    <col min="2818" max="2818" width="5.00390625" style="156" customWidth="1"/>
    <col min="2819" max="2819" width="15.00390625" style="156" customWidth="1"/>
    <col min="2820" max="2820" width="14.00390625" style="156" customWidth="1"/>
    <col min="2821" max="2823" width="16.7109375" style="156" customWidth="1"/>
    <col min="2824" max="2826" width="13.7109375" style="156" customWidth="1"/>
    <col min="2827" max="2837" width="13.421875" style="156" customWidth="1"/>
    <col min="2838" max="2875" width="13.57421875" style="156" hidden="1" customWidth="1"/>
    <col min="2876" max="3069" width="13.421875" style="156" customWidth="1"/>
    <col min="3070" max="3070" width="4.28125" style="156" customWidth="1"/>
    <col min="3071" max="3071" width="8.8515625" style="156" customWidth="1"/>
    <col min="3072" max="3072" width="16.7109375" style="156" customWidth="1"/>
    <col min="3073" max="3073" width="91.28125" style="156" customWidth="1"/>
    <col min="3074" max="3074" width="5.00390625" style="156" customWidth="1"/>
    <col min="3075" max="3075" width="15.00390625" style="156" customWidth="1"/>
    <col min="3076" max="3076" width="14.00390625" style="156" customWidth="1"/>
    <col min="3077" max="3079" width="16.7109375" style="156" customWidth="1"/>
    <col min="3080" max="3082" width="13.7109375" style="156" customWidth="1"/>
    <col min="3083" max="3093" width="13.421875" style="156" customWidth="1"/>
    <col min="3094" max="3131" width="13.57421875" style="156" hidden="1" customWidth="1"/>
    <col min="3132" max="3325" width="13.421875" style="156" customWidth="1"/>
    <col min="3326" max="3326" width="4.28125" style="156" customWidth="1"/>
    <col min="3327" max="3327" width="8.8515625" style="156" customWidth="1"/>
    <col min="3328" max="3328" width="16.7109375" style="156" customWidth="1"/>
    <col min="3329" max="3329" width="91.28125" style="156" customWidth="1"/>
    <col min="3330" max="3330" width="5.00390625" style="156" customWidth="1"/>
    <col min="3331" max="3331" width="15.00390625" style="156" customWidth="1"/>
    <col min="3332" max="3332" width="14.00390625" style="156" customWidth="1"/>
    <col min="3333" max="3335" width="16.7109375" style="156" customWidth="1"/>
    <col min="3336" max="3338" width="13.7109375" style="156" customWidth="1"/>
    <col min="3339" max="3349" width="13.421875" style="156" customWidth="1"/>
    <col min="3350" max="3387" width="13.57421875" style="156" hidden="1" customWidth="1"/>
    <col min="3388" max="3581" width="13.421875" style="156" customWidth="1"/>
    <col min="3582" max="3582" width="4.28125" style="156" customWidth="1"/>
    <col min="3583" max="3583" width="8.8515625" style="156" customWidth="1"/>
    <col min="3584" max="3584" width="16.7109375" style="156" customWidth="1"/>
    <col min="3585" max="3585" width="91.28125" style="156" customWidth="1"/>
    <col min="3586" max="3586" width="5.00390625" style="156" customWidth="1"/>
    <col min="3587" max="3587" width="15.00390625" style="156" customWidth="1"/>
    <col min="3588" max="3588" width="14.00390625" style="156" customWidth="1"/>
    <col min="3589" max="3591" width="16.7109375" style="156" customWidth="1"/>
    <col min="3592" max="3594" width="13.7109375" style="156" customWidth="1"/>
    <col min="3595" max="3605" width="13.421875" style="156" customWidth="1"/>
    <col min="3606" max="3643" width="13.57421875" style="156" hidden="1" customWidth="1"/>
    <col min="3644" max="3837" width="13.421875" style="156" customWidth="1"/>
    <col min="3838" max="3838" width="4.28125" style="156" customWidth="1"/>
    <col min="3839" max="3839" width="8.8515625" style="156" customWidth="1"/>
    <col min="3840" max="3840" width="16.7109375" style="156" customWidth="1"/>
    <col min="3841" max="3841" width="91.28125" style="156" customWidth="1"/>
    <col min="3842" max="3842" width="5.00390625" style="156" customWidth="1"/>
    <col min="3843" max="3843" width="15.00390625" style="156" customWidth="1"/>
    <col min="3844" max="3844" width="14.00390625" style="156" customWidth="1"/>
    <col min="3845" max="3847" width="16.7109375" style="156" customWidth="1"/>
    <col min="3848" max="3850" width="13.7109375" style="156" customWidth="1"/>
    <col min="3851" max="3861" width="13.421875" style="156" customWidth="1"/>
    <col min="3862" max="3899" width="13.57421875" style="156" hidden="1" customWidth="1"/>
    <col min="3900" max="4093" width="13.421875" style="156" customWidth="1"/>
    <col min="4094" max="4094" width="4.28125" style="156" customWidth="1"/>
    <col min="4095" max="4095" width="8.8515625" style="156" customWidth="1"/>
    <col min="4096" max="4096" width="16.7109375" style="156" customWidth="1"/>
    <col min="4097" max="4097" width="91.28125" style="156" customWidth="1"/>
    <col min="4098" max="4098" width="5.00390625" style="156" customWidth="1"/>
    <col min="4099" max="4099" width="15.00390625" style="156" customWidth="1"/>
    <col min="4100" max="4100" width="14.00390625" style="156" customWidth="1"/>
    <col min="4101" max="4103" width="16.7109375" style="156" customWidth="1"/>
    <col min="4104" max="4106" width="13.7109375" style="156" customWidth="1"/>
    <col min="4107" max="4117" width="13.421875" style="156" customWidth="1"/>
    <col min="4118" max="4155" width="13.57421875" style="156" hidden="1" customWidth="1"/>
    <col min="4156" max="4349" width="13.421875" style="156" customWidth="1"/>
    <col min="4350" max="4350" width="4.28125" style="156" customWidth="1"/>
    <col min="4351" max="4351" width="8.8515625" style="156" customWidth="1"/>
    <col min="4352" max="4352" width="16.7109375" style="156" customWidth="1"/>
    <col min="4353" max="4353" width="91.28125" style="156" customWidth="1"/>
    <col min="4354" max="4354" width="5.00390625" style="156" customWidth="1"/>
    <col min="4355" max="4355" width="15.00390625" style="156" customWidth="1"/>
    <col min="4356" max="4356" width="14.00390625" style="156" customWidth="1"/>
    <col min="4357" max="4359" width="16.7109375" style="156" customWidth="1"/>
    <col min="4360" max="4362" width="13.7109375" style="156" customWidth="1"/>
    <col min="4363" max="4373" width="13.421875" style="156" customWidth="1"/>
    <col min="4374" max="4411" width="13.57421875" style="156" hidden="1" customWidth="1"/>
    <col min="4412" max="4605" width="13.421875" style="156" customWidth="1"/>
    <col min="4606" max="4606" width="4.28125" style="156" customWidth="1"/>
    <col min="4607" max="4607" width="8.8515625" style="156" customWidth="1"/>
    <col min="4608" max="4608" width="16.7109375" style="156" customWidth="1"/>
    <col min="4609" max="4609" width="91.28125" style="156" customWidth="1"/>
    <col min="4610" max="4610" width="5.00390625" style="156" customWidth="1"/>
    <col min="4611" max="4611" width="15.00390625" style="156" customWidth="1"/>
    <col min="4612" max="4612" width="14.00390625" style="156" customWidth="1"/>
    <col min="4613" max="4615" width="16.7109375" style="156" customWidth="1"/>
    <col min="4616" max="4618" width="13.7109375" style="156" customWidth="1"/>
    <col min="4619" max="4629" width="13.421875" style="156" customWidth="1"/>
    <col min="4630" max="4667" width="13.57421875" style="156" hidden="1" customWidth="1"/>
    <col min="4668" max="4861" width="13.421875" style="156" customWidth="1"/>
    <col min="4862" max="4862" width="4.28125" style="156" customWidth="1"/>
    <col min="4863" max="4863" width="8.8515625" style="156" customWidth="1"/>
    <col min="4864" max="4864" width="16.7109375" style="156" customWidth="1"/>
    <col min="4865" max="4865" width="91.28125" style="156" customWidth="1"/>
    <col min="4866" max="4866" width="5.00390625" style="156" customWidth="1"/>
    <col min="4867" max="4867" width="15.00390625" style="156" customWidth="1"/>
    <col min="4868" max="4868" width="14.00390625" style="156" customWidth="1"/>
    <col min="4869" max="4871" width="16.7109375" style="156" customWidth="1"/>
    <col min="4872" max="4874" width="13.7109375" style="156" customWidth="1"/>
    <col min="4875" max="4885" width="13.421875" style="156" customWidth="1"/>
    <col min="4886" max="4923" width="13.57421875" style="156" hidden="1" customWidth="1"/>
    <col min="4924" max="5117" width="13.421875" style="156" customWidth="1"/>
    <col min="5118" max="5118" width="4.28125" style="156" customWidth="1"/>
    <col min="5119" max="5119" width="8.8515625" style="156" customWidth="1"/>
    <col min="5120" max="5120" width="16.7109375" style="156" customWidth="1"/>
    <col min="5121" max="5121" width="91.28125" style="156" customWidth="1"/>
    <col min="5122" max="5122" width="5.00390625" style="156" customWidth="1"/>
    <col min="5123" max="5123" width="15.00390625" style="156" customWidth="1"/>
    <col min="5124" max="5124" width="14.00390625" style="156" customWidth="1"/>
    <col min="5125" max="5127" width="16.7109375" style="156" customWidth="1"/>
    <col min="5128" max="5130" width="13.7109375" style="156" customWidth="1"/>
    <col min="5131" max="5141" width="13.421875" style="156" customWidth="1"/>
    <col min="5142" max="5179" width="13.57421875" style="156" hidden="1" customWidth="1"/>
    <col min="5180" max="5373" width="13.421875" style="156" customWidth="1"/>
    <col min="5374" max="5374" width="4.28125" style="156" customWidth="1"/>
    <col min="5375" max="5375" width="8.8515625" style="156" customWidth="1"/>
    <col min="5376" max="5376" width="16.7109375" style="156" customWidth="1"/>
    <col min="5377" max="5377" width="91.28125" style="156" customWidth="1"/>
    <col min="5378" max="5378" width="5.00390625" style="156" customWidth="1"/>
    <col min="5379" max="5379" width="15.00390625" style="156" customWidth="1"/>
    <col min="5380" max="5380" width="14.00390625" style="156" customWidth="1"/>
    <col min="5381" max="5383" width="16.7109375" style="156" customWidth="1"/>
    <col min="5384" max="5386" width="13.7109375" style="156" customWidth="1"/>
    <col min="5387" max="5397" width="13.421875" style="156" customWidth="1"/>
    <col min="5398" max="5435" width="13.57421875" style="156" hidden="1" customWidth="1"/>
    <col min="5436" max="5629" width="13.421875" style="156" customWidth="1"/>
    <col min="5630" max="5630" width="4.28125" style="156" customWidth="1"/>
    <col min="5631" max="5631" width="8.8515625" style="156" customWidth="1"/>
    <col min="5632" max="5632" width="16.7109375" style="156" customWidth="1"/>
    <col min="5633" max="5633" width="91.28125" style="156" customWidth="1"/>
    <col min="5634" max="5634" width="5.00390625" style="156" customWidth="1"/>
    <col min="5635" max="5635" width="15.00390625" style="156" customWidth="1"/>
    <col min="5636" max="5636" width="14.00390625" style="156" customWidth="1"/>
    <col min="5637" max="5639" width="16.7109375" style="156" customWidth="1"/>
    <col min="5640" max="5642" width="13.7109375" style="156" customWidth="1"/>
    <col min="5643" max="5653" width="13.421875" style="156" customWidth="1"/>
    <col min="5654" max="5691" width="13.57421875" style="156" hidden="1" customWidth="1"/>
    <col min="5692" max="5885" width="13.421875" style="156" customWidth="1"/>
    <col min="5886" max="5886" width="4.28125" style="156" customWidth="1"/>
    <col min="5887" max="5887" width="8.8515625" style="156" customWidth="1"/>
    <col min="5888" max="5888" width="16.7109375" style="156" customWidth="1"/>
    <col min="5889" max="5889" width="91.28125" style="156" customWidth="1"/>
    <col min="5890" max="5890" width="5.00390625" style="156" customWidth="1"/>
    <col min="5891" max="5891" width="15.00390625" style="156" customWidth="1"/>
    <col min="5892" max="5892" width="14.00390625" style="156" customWidth="1"/>
    <col min="5893" max="5895" width="16.7109375" style="156" customWidth="1"/>
    <col min="5896" max="5898" width="13.7109375" style="156" customWidth="1"/>
    <col min="5899" max="5909" width="13.421875" style="156" customWidth="1"/>
    <col min="5910" max="5947" width="13.57421875" style="156" hidden="1" customWidth="1"/>
    <col min="5948" max="6141" width="13.421875" style="156" customWidth="1"/>
    <col min="6142" max="6142" width="4.28125" style="156" customWidth="1"/>
    <col min="6143" max="6143" width="8.8515625" style="156" customWidth="1"/>
    <col min="6144" max="6144" width="16.7109375" style="156" customWidth="1"/>
    <col min="6145" max="6145" width="91.28125" style="156" customWidth="1"/>
    <col min="6146" max="6146" width="5.00390625" style="156" customWidth="1"/>
    <col min="6147" max="6147" width="15.00390625" style="156" customWidth="1"/>
    <col min="6148" max="6148" width="14.00390625" style="156" customWidth="1"/>
    <col min="6149" max="6151" width="16.7109375" style="156" customWidth="1"/>
    <col min="6152" max="6154" width="13.7109375" style="156" customWidth="1"/>
    <col min="6155" max="6165" width="13.421875" style="156" customWidth="1"/>
    <col min="6166" max="6203" width="13.57421875" style="156" hidden="1" customWidth="1"/>
    <col min="6204" max="6397" width="13.421875" style="156" customWidth="1"/>
    <col min="6398" max="6398" width="4.28125" style="156" customWidth="1"/>
    <col min="6399" max="6399" width="8.8515625" style="156" customWidth="1"/>
    <col min="6400" max="6400" width="16.7109375" style="156" customWidth="1"/>
    <col min="6401" max="6401" width="91.28125" style="156" customWidth="1"/>
    <col min="6402" max="6402" width="5.00390625" style="156" customWidth="1"/>
    <col min="6403" max="6403" width="15.00390625" style="156" customWidth="1"/>
    <col min="6404" max="6404" width="14.00390625" style="156" customWidth="1"/>
    <col min="6405" max="6407" width="16.7109375" style="156" customWidth="1"/>
    <col min="6408" max="6410" width="13.7109375" style="156" customWidth="1"/>
    <col min="6411" max="6421" width="13.421875" style="156" customWidth="1"/>
    <col min="6422" max="6459" width="13.57421875" style="156" hidden="1" customWidth="1"/>
    <col min="6460" max="6653" width="13.421875" style="156" customWidth="1"/>
    <col min="6654" max="6654" width="4.28125" style="156" customWidth="1"/>
    <col min="6655" max="6655" width="8.8515625" style="156" customWidth="1"/>
    <col min="6656" max="6656" width="16.7109375" style="156" customWidth="1"/>
    <col min="6657" max="6657" width="91.28125" style="156" customWidth="1"/>
    <col min="6658" max="6658" width="5.00390625" style="156" customWidth="1"/>
    <col min="6659" max="6659" width="15.00390625" style="156" customWidth="1"/>
    <col min="6660" max="6660" width="14.00390625" style="156" customWidth="1"/>
    <col min="6661" max="6663" width="16.7109375" style="156" customWidth="1"/>
    <col min="6664" max="6666" width="13.7109375" style="156" customWidth="1"/>
    <col min="6667" max="6677" width="13.421875" style="156" customWidth="1"/>
    <col min="6678" max="6715" width="13.57421875" style="156" hidden="1" customWidth="1"/>
    <col min="6716" max="6909" width="13.421875" style="156" customWidth="1"/>
    <col min="6910" max="6910" width="4.28125" style="156" customWidth="1"/>
    <col min="6911" max="6911" width="8.8515625" style="156" customWidth="1"/>
    <col min="6912" max="6912" width="16.7109375" style="156" customWidth="1"/>
    <col min="6913" max="6913" width="91.28125" style="156" customWidth="1"/>
    <col min="6914" max="6914" width="5.00390625" style="156" customWidth="1"/>
    <col min="6915" max="6915" width="15.00390625" style="156" customWidth="1"/>
    <col min="6916" max="6916" width="14.00390625" style="156" customWidth="1"/>
    <col min="6917" max="6919" width="16.7109375" style="156" customWidth="1"/>
    <col min="6920" max="6922" width="13.7109375" style="156" customWidth="1"/>
    <col min="6923" max="6933" width="13.421875" style="156" customWidth="1"/>
    <col min="6934" max="6971" width="13.57421875" style="156" hidden="1" customWidth="1"/>
    <col min="6972" max="7165" width="13.421875" style="156" customWidth="1"/>
    <col min="7166" max="7166" width="4.28125" style="156" customWidth="1"/>
    <col min="7167" max="7167" width="8.8515625" style="156" customWidth="1"/>
    <col min="7168" max="7168" width="16.7109375" style="156" customWidth="1"/>
    <col min="7169" max="7169" width="91.28125" style="156" customWidth="1"/>
    <col min="7170" max="7170" width="5.00390625" style="156" customWidth="1"/>
    <col min="7171" max="7171" width="15.00390625" style="156" customWidth="1"/>
    <col min="7172" max="7172" width="14.00390625" style="156" customWidth="1"/>
    <col min="7173" max="7175" width="16.7109375" style="156" customWidth="1"/>
    <col min="7176" max="7178" width="13.7109375" style="156" customWidth="1"/>
    <col min="7179" max="7189" width="13.421875" style="156" customWidth="1"/>
    <col min="7190" max="7227" width="13.57421875" style="156" hidden="1" customWidth="1"/>
    <col min="7228" max="7421" width="13.421875" style="156" customWidth="1"/>
    <col min="7422" max="7422" width="4.28125" style="156" customWidth="1"/>
    <col min="7423" max="7423" width="8.8515625" style="156" customWidth="1"/>
    <col min="7424" max="7424" width="16.7109375" style="156" customWidth="1"/>
    <col min="7425" max="7425" width="91.28125" style="156" customWidth="1"/>
    <col min="7426" max="7426" width="5.00390625" style="156" customWidth="1"/>
    <col min="7427" max="7427" width="15.00390625" style="156" customWidth="1"/>
    <col min="7428" max="7428" width="14.00390625" style="156" customWidth="1"/>
    <col min="7429" max="7431" width="16.7109375" style="156" customWidth="1"/>
    <col min="7432" max="7434" width="13.7109375" style="156" customWidth="1"/>
    <col min="7435" max="7445" width="13.421875" style="156" customWidth="1"/>
    <col min="7446" max="7483" width="13.57421875" style="156" hidden="1" customWidth="1"/>
    <col min="7484" max="7677" width="13.421875" style="156" customWidth="1"/>
    <col min="7678" max="7678" width="4.28125" style="156" customWidth="1"/>
    <col min="7679" max="7679" width="8.8515625" style="156" customWidth="1"/>
    <col min="7680" max="7680" width="16.7109375" style="156" customWidth="1"/>
    <col min="7681" max="7681" width="91.28125" style="156" customWidth="1"/>
    <col min="7682" max="7682" width="5.00390625" style="156" customWidth="1"/>
    <col min="7683" max="7683" width="15.00390625" style="156" customWidth="1"/>
    <col min="7684" max="7684" width="14.00390625" style="156" customWidth="1"/>
    <col min="7685" max="7687" width="16.7109375" style="156" customWidth="1"/>
    <col min="7688" max="7690" width="13.7109375" style="156" customWidth="1"/>
    <col min="7691" max="7701" width="13.421875" style="156" customWidth="1"/>
    <col min="7702" max="7739" width="13.57421875" style="156" hidden="1" customWidth="1"/>
    <col min="7740" max="7933" width="13.421875" style="156" customWidth="1"/>
    <col min="7934" max="7934" width="4.28125" style="156" customWidth="1"/>
    <col min="7935" max="7935" width="8.8515625" style="156" customWidth="1"/>
    <col min="7936" max="7936" width="16.7109375" style="156" customWidth="1"/>
    <col min="7937" max="7937" width="91.28125" style="156" customWidth="1"/>
    <col min="7938" max="7938" width="5.00390625" style="156" customWidth="1"/>
    <col min="7939" max="7939" width="15.00390625" style="156" customWidth="1"/>
    <col min="7940" max="7940" width="14.00390625" style="156" customWidth="1"/>
    <col min="7941" max="7943" width="16.7109375" style="156" customWidth="1"/>
    <col min="7944" max="7946" width="13.7109375" style="156" customWidth="1"/>
    <col min="7947" max="7957" width="13.421875" style="156" customWidth="1"/>
    <col min="7958" max="7995" width="13.57421875" style="156" hidden="1" customWidth="1"/>
    <col min="7996" max="8189" width="13.421875" style="156" customWidth="1"/>
    <col min="8190" max="8190" width="4.28125" style="156" customWidth="1"/>
    <col min="8191" max="8191" width="8.8515625" style="156" customWidth="1"/>
    <col min="8192" max="8192" width="16.7109375" style="156" customWidth="1"/>
    <col min="8193" max="8193" width="91.28125" style="156" customWidth="1"/>
    <col min="8194" max="8194" width="5.00390625" style="156" customWidth="1"/>
    <col min="8195" max="8195" width="15.00390625" style="156" customWidth="1"/>
    <col min="8196" max="8196" width="14.00390625" style="156" customWidth="1"/>
    <col min="8197" max="8199" width="16.7109375" style="156" customWidth="1"/>
    <col min="8200" max="8202" width="13.7109375" style="156" customWidth="1"/>
    <col min="8203" max="8213" width="13.421875" style="156" customWidth="1"/>
    <col min="8214" max="8251" width="13.57421875" style="156" hidden="1" customWidth="1"/>
    <col min="8252" max="8445" width="13.421875" style="156" customWidth="1"/>
    <col min="8446" max="8446" width="4.28125" style="156" customWidth="1"/>
    <col min="8447" max="8447" width="8.8515625" style="156" customWidth="1"/>
    <col min="8448" max="8448" width="16.7109375" style="156" customWidth="1"/>
    <col min="8449" max="8449" width="91.28125" style="156" customWidth="1"/>
    <col min="8450" max="8450" width="5.00390625" style="156" customWidth="1"/>
    <col min="8451" max="8451" width="15.00390625" style="156" customWidth="1"/>
    <col min="8452" max="8452" width="14.00390625" style="156" customWidth="1"/>
    <col min="8453" max="8455" width="16.7109375" style="156" customWidth="1"/>
    <col min="8456" max="8458" width="13.7109375" style="156" customWidth="1"/>
    <col min="8459" max="8469" width="13.421875" style="156" customWidth="1"/>
    <col min="8470" max="8507" width="13.57421875" style="156" hidden="1" customWidth="1"/>
    <col min="8508" max="8701" width="13.421875" style="156" customWidth="1"/>
    <col min="8702" max="8702" width="4.28125" style="156" customWidth="1"/>
    <col min="8703" max="8703" width="8.8515625" style="156" customWidth="1"/>
    <col min="8704" max="8704" width="16.7109375" style="156" customWidth="1"/>
    <col min="8705" max="8705" width="91.28125" style="156" customWidth="1"/>
    <col min="8706" max="8706" width="5.00390625" style="156" customWidth="1"/>
    <col min="8707" max="8707" width="15.00390625" style="156" customWidth="1"/>
    <col min="8708" max="8708" width="14.00390625" style="156" customWidth="1"/>
    <col min="8709" max="8711" width="16.7109375" style="156" customWidth="1"/>
    <col min="8712" max="8714" width="13.7109375" style="156" customWidth="1"/>
    <col min="8715" max="8725" width="13.421875" style="156" customWidth="1"/>
    <col min="8726" max="8763" width="13.57421875" style="156" hidden="1" customWidth="1"/>
    <col min="8764" max="8957" width="13.421875" style="156" customWidth="1"/>
    <col min="8958" max="8958" width="4.28125" style="156" customWidth="1"/>
    <col min="8959" max="8959" width="8.8515625" style="156" customWidth="1"/>
    <col min="8960" max="8960" width="16.7109375" style="156" customWidth="1"/>
    <col min="8961" max="8961" width="91.28125" style="156" customWidth="1"/>
    <col min="8962" max="8962" width="5.00390625" style="156" customWidth="1"/>
    <col min="8963" max="8963" width="15.00390625" style="156" customWidth="1"/>
    <col min="8964" max="8964" width="14.00390625" style="156" customWidth="1"/>
    <col min="8965" max="8967" width="16.7109375" style="156" customWidth="1"/>
    <col min="8968" max="8970" width="13.7109375" style="156" customWidth="1"/>
    <col min="8971" max="8981" width="13.421875" style="156" customWidth="1"/>
    <col min="8982" max="9019" width="13.57421875" style="156" hidden="1" customWidth="1"/>
    <col min="9020" max="9213" width="13.421875" style="156" customWidth="1"/>
    <col min="9214" max="9214" width="4.28125" style="156" customWidth="1"/>
    <col min="9215" max="9215" width="8.8515625" style="156" customWidth="1"/>
    <col min="9216" max="9216" width="16.7109375" style="156" customWidth="1"/>
    <col min="9217" max="9217" width="91.28125" style="156" customWidth="1"/>
    <col min="9218" max="9218" width="5.00390625" style="156" customWidth="1"/>
    <col min="9219" max="9219" width="15.00390625" style="156" customWidth="1"/>
    <col min="9220" max="9220" width="14.00390625" style="156" customWidth="1"/>
    <col min="9221" max="9223" width="16.7109375" style="156" customWidth="1"/>
    <col min="9224" max="9226" width="13.7109375" style="156" customWidth="1"/>
    <col min="9227" max="9237" width="13.421875" style="156" customWidth="1"/>
    <col min="9238" max="9275" width="13.57421875" style="156" hidden="1" customWidth="1"/>
    <col min="9276" max="9469" width="13.421875" style="156" customWidth="1"/>
    <col min="9470" max="9470" width="4.28125" style="156" customWidth="1"/>
    <col min="9471" max="9471" width="8.8515625" style="156" customWidth="1"/>
    <col min="9472" max="9472" width="16.7109375" style="156" customWidth="1"/>
    <col min="9473" max="9473" width="91.28125" style="156" customWidth="1"/>
    <col min="9474" max="9474" width="5.00390625" style="156" customWidth="1"/>
    <col min="9475" max="9475" width="15.00390625" style="156" customWidth="1"/>
    <col min="9476" max="9476" width="14.00390625" style="156" customWidth="1"/>
    <col min="9477" max="9479" width="16.7109375" style="156" customWidth="1"/>
    <col min="9480" max="9482" width="13.7109375" style="156" customWidth="1"/>
    <col min="9483" max="9493" width="13.421875" style="156" customWidth="1"/>
    <col min="9494" max="9531" width="13.57421875" style="156" hidden="1" customWidth="1"/>
    <col min="9532" max="9725" width="13.421875" style="156" customWidth="1"/>
    <col min="9726" max="9726" width="4.28125" style="156" customWidth="1"/>
    <col min="9727" max="9727" width="8.8515625" style="156" customWidth="1"/>
    <col min="9728" max="9728" width="16.7109375" style="156" customWidth="1"/>
    <col min="9729" max="9729" width="91.28125" style="156" customWidth="1"/>
    <col min="9730" max="9730" width="5.00390625" style="156" customWidth="1"/>
    <col min="9731" max="9731" width="15.00390625" style="156" customWidth="1"/>
    <col min="9732" max="9732" width="14.00390625" style="156" customWidth="1"/>
    <col min="9733" max="9735" width="16.7109375" style="156" customWidth="1"/>
    <col min="9736" max="9738" width="13.7109375" style="156" customWidth="1"/>
    <col min="9739" max="9749" width="13.421875" style="156" customWidth="1"/>
    <col min="9750" max="9787" width="13.57421875" style="156" hidden="1" customWidth="1"/>
    <col min="9788" max="9981" width="13.421875" style="156" customWidth="1"/>
    <col min="9982" max="9982" width="4.28125" style="156" customWidth="1"/>
    <col min="9983" max="9983" width="8.8515625" style="156" customWidth="1"/>
    <col min="9984" max="9984" width="16.7109375" style="156" customWidth="1"/>
    <col min="9985" max="9985" width="91.28125" style="156" customWidth="1"/>
    <col min="9986" max="9986" width="5.00390625" style="156" customWidth="1"/>
    <col min="9987" max="9987" width="15.00390625" style="156" customWidth="1"/>
    <col min="9988" max="9988" width="14.00390625" style="156" customWidth="1"/>
    <col min="9989" max="9991" width="16.7109375" style="156" customWidth="1"/>
    <col min="9992" max="9994" width="13.7109375" style="156" customWidth="1"/>
    <col min="9995" max="10005" width="13.421875" style="156" customWidth="1"/>
    <col min="10006" max="10043" width="13.57421875" style="156" hidden="1" customWidth="1"/>
    <col min="10044" max="10237" width="13.421875" style="156" customWidth="1"/>
    <col min="10238" max="10238" width="4.28125" style="156" customWidth="1"/>
    <col min="10239" max="10239" width="8.8515625" style="156" customWidth="1"/>
    <col min="10240" max="10240" width="16.7109375" style="156" customWidth="1"/>
    <col min="10241" max="10241" width="91.28125" style="156" customWidth="1"/>
    <col min="10242" max="10242" width="5.00390625" style="156" customWidth="1"/>
    <col min="10243" max="10243" width="15.00390625" style="156" customWidth="1"/>
    <col min="10244" max="10244" width="14.00390625" style="156" customWidth="1"/>
    <col min="10245" max="10247" width="16.7109375" style="156" customWidth="1"/>
    <col min="10248" max="10250" width="13.7109375" style="156" customWidth="1"/>
    <col min="10251" max="10261" width="13.421875" style="156" customWidth="1"/>
    <col min="10262" max="10299" width="13.57421875" style="156" hidden="1" customWidth="1"/>
    <col min="10300" max="10493" width="13.421875" style="156" customWidth="1"/>
    <col min="10494" max="10494" width="4.28125" style="156" customWidth="1"/>
    <col min="10495" max="10495" width="8.8515625" style="156" customWidth="1"/>
    <col min="10496" max="10496" width="16.7109375" style="156" customWidth="1"/>
    <col min="10497" max="10497" width="91.28125" style="156" customWidth="1"/>
    <col min="10498" max="10498" width="5.00390625" style="156" customWidth="1"/>
    <col min="10499" max="10499" width="15.00390625" style="156" customWidth="1"/>
    <col min="10500" max="10500" width="14.00390625" style="156" customWidth="1"/>
    <col min="10501" max="10503" width="16.7109375" style="156" customWidth="1"/>
    <col min="10504" max="10506" width="13.7109375" style="156" customWidth="1"/>
    <col min="10507" max="10517" width="13.421875" style="156" customWidth="1"/>
    <col min="10518" max="10555" width="13.57421875" style="156" hidden="1" customWidth="1"/>
    <col min="10556" max="10749" width="13.421875" style="156" customWidth="1"/>
    <col min="10750" max="10750" width="4.28125" style="156" customWidth="1"/>
    <col min="10751" max="10751" width="8.8515625" style="156" customWidth="1"/>
    <col min="10752" max="10752" width="16.7109375" style="156" customWidth="1"/>
    <col min="10753" max="10753" width="91.28125" style="156" customWidth="1"/>
    <col min="10754" max="10754" width="5.00390625" style="156" customWidth="1"/>
    <col min="10755" max="10755" width="15.00390625" style="156" customWidth="1"/>
    <col min="10756" max="10756" width="14.00390625" style="156" customWidth="1"/>
    <col min="10757" max="10759" width="16.7109375" style="156" customWidth="1"/>
    <col min="10760" max="10762" width="13.7109375" style="156" customWidth="1"/>
    <col min="10763" max="10773" width="13.421875" style="156" customWidth="1"/>
    <col min="10774" max="10811" width="13.57421875" style="156" hidden="1" customWidth="1"/>
    <col min="10812" max="11005" width="13.421875" style="156" customWidth="1"/>
    <col min="11006" max="11006" width="4.28125" style="156" customWidth="1"/>
    <col min="11007" max="11007" width="8.8515625" style="156" customWidth="1"/>
    <col min="11008" max="11008" width="16.7109375" style="156" customWidth="1"/>
    <col min="11009" max="11009" width="91.28125" style="156" customWidth="1"/>
    <col min="11010" max="11010" width="5.00390625" style="156" customWidth="1"/>
    <col min="11011" max="11011" width="15.00390625" style="156" customWidth="1"/>
    <col min="11012" max="11012" width="14.00390625" style="156" customWidth="1"/>
    <col min="11013" max="11015" width="16.7109375" style="156" customWidth="1"/>
    <col min="11016" max="11018" width="13.7109375" style="156" customWidth="1"/>
    <col min="11019" max="11029" width="13.421875" style="156" customWidth="1"/>
    <col min="11030" max="11067" width="13.57421875" style="156" hidden="1" customWidth="1"/>
    <col min="11068" max="11261" width="13.421875" style="156" customWidth="1"/>
    <col min="11262" max="11262" width="4.28125" style="156" customWidth="1"/>
    <col min="11263" max="11263" width="8.8515625" style="156" customWidth="1"/>
    <col min="11264" max="11264" width="16.7109375" style="156" customWidth="1"/>
    <col min="11265" max="11265" width="91.28125" style="156" customWidth="1"/>
    <col min="11266" max="11266" width="5.00390625" style="156" customWidth="1"/>
    <col min="11267" max="11267" width="15.00390625" style="156" customWidth="1"/>
    <col min="11268" max="11268" width="14.00390625" style="156" customWidth="1"/>
    <col min="11269" max="11271" width="16.7109375" style="156" customWidth="1"/>
    <col min="11272" max="11274" width="13.7109375" style="156" customWidth="1"/>
    <col min="11275" max="11285" width="13.421875" style="156" customWidth="1"/>
    <col min="11286" max="11323" width="13.57421875" style="156" hidden="1" customWidth="1"/>
    <col min="11324" max="11517" width="13.421875" style="156" customWidth="1"/>
    <col min="11518" max="11518" width="4.28125" style="156" customWidth="1"/>
    <col min="11519" max="11519" width="8.8515625" style="156" customWidth="1"/>
    <col min="11520" max="11520" width="16.7109375" style="156" customWidth="1"/>
    <col min="11521" max="11521" width="91.28125" style="156" customWidth="1"/>
    <col min="11522" max="11522" width="5.00390625" style="156" customWidth="1"/>
    <col min="11523" max="11523" width="15.00390625" style="156" customWidth="1"/>
    <col min="11524" max="11524" width="14.00390625" style="156" customWidth="1"/>
    <col min="11525" max="11527" width="16.7109375" style="156" customWidth="1"/>
    <col min="11528" max="11530" width="13.7109375" style="156" customWidth="1"/>
    <col min="11531" max="11541" width="13.421875" style="156" customWidth="1"/>
    <col min="11542" max="11579" width="13.57421875" style="156" hidden="1" customWidth="1"/>
    <col min="11580" max="11773" width="13.421875" style="156" customWidth="1"/>
    <col min="11774" max="11774" width="4.28125" style="156" customWidth="1"/>
    <col min="11775" max="11775" width="8.8515625" style="156" customWidth="1"/>
    <col min="11776" max="11776" width="16.7109375" style="156" customWidth="1"/>
    <col min="11777" max="11777" width="91.28125" style="156" customWidth="1"/>
    <col min="11778" max="11778" width="5.00390625" style="156" customWidth="1"/>
    <col min="11779" max="11779" width="15.00390625" style="156" customWidth="1"/>
    <col min="11780" max="11780" width="14.00390625" style="156" customWidth="1"/>
    <col min="11781" max="11783" width="16.7109375" style="156" customWidth="1"/>
    <col min="11784" max="11786" width="13.7109375" style="156" customWidth="1"/>
    <col min="11787" max="11797" width="13.421875" style="156" customWidth="1"/>
    <col min="11798" max="11835" width="13.57421875" style="156" hidden="1" customWidth="1"/>
    <col min="11836" max="12029" width="13.421875" style="156" customWidth="1"/>
    <col min="12030" max="12030" width="4.28125" style="156" customWidth="1"/>
    <col min="12031" max="12031" width="8.8515625" style="156" customWidth="1"/>
    <col min="12032" max="12032" width="16.7109375" style="156" customWidth="1"/>
    <col min="12033" max="12033" width="91.28125" style="156" customWidth="1"/>
    <col min="12034" max="12034" width="5.00390625" style="156" customWidth="1"/>
    <col min="12035" max="12035" width="15.00390625" style="156" customWidth="1"/>
    <col min="12036" max="12036" width="14.00390625" style="156" customWidth="1"/>
    <col min="12037" max="12039" width="16.7109375" style="156" customWidth="1"/>
    <col min="12040" max="12042" width="13.7109375" style="156" customWidth="1"/>
    <col min="12043" max="12053" width="13.421875" style="156" customWidth="1"/>
    <col min="12054" max="12091" width="13.57421875" style="156" hidden="1" customWidth="1"/>
    <col min="12092" max="12285" width="13.421875" style="156" customWidth="1"/>
    <col min="12286" max="12286" width="4.28125" style="156" customWidth="1"/>
    <col min="12287" max="12287" width="8.8515625" style="156" customWidth="1"/>
    <col min="12288" max="12288" width="16.7109375" style="156" customWidth="1"/>
    <col min="12289" max="12289" width="91.28125" style="156" customWidth="1"/>
    <col min="12290" max="12290" width="5.00390625" style="156" customWidth="1"/>
    <col min="12291" max="12291" width="15.00390625" style="156" customWidth="1"/>
    <col min="12292" max="12292" width="14.00390625" style="156" customWidth="1"/>
    <col min="12293" max="12295" width="16.7109375" style="156" customWidth="1"/>
    <col min="12296" max="12298" width="13.7109375" style="156" customWidth="1"/>
    <col min="12299" max="12309" width="13.421875" style="156" customWidth="1"/>
    <col min="12310" max="12347" width="13.57421875" style="156" hidden="1" customWidth="1"/>
    <col min="12348" max="12541" width="13.421875" style="156" customWidth="1"/>
    <col min="12542" max="12542" width="4.28125" style="156" customWidth="1"/>
    <col min="12543" max="12543" width="8.8515625" style="156" customWidth="1"/>
    <col min="12544" max="12544" width="16.7109375" style="156" customWidth="1"/>
    <col min="12545" max="12545" width="91.28125" style="156" customWidth="1"/>
    <col min="12546" max="12546" width="5.00390625" style="156" customWidth="1"/>
    <col min="12547" max="12547" width="15.00390625" style="156" customWidth="1"/>
    <col min="12548" max="12548" width="14.00390625" style="156" customWidth="1"/>
    <col min="12549" max="12551" width="16.7109375" style="156" customWidth="1"/>
    <col min="12552" max="12554" width="13.7109375" style="156" customWidth="1"/>
    <col min="12555" max="12565" width="13.421875" style="156" customWidth="1"/>
    <col min="12566" max="12603" width="13.57421875" style="156" hidden="1" customWidth="1"/>
    <col min="12604" max="12797" width="13.421875" style="156" customWidth="1"/>
    <col min="12798" max="12798" width="4.28125" style="156" customWidth="1"/>
    <col min="12799" max="12799" width="8.8515625" style="156" customWidth="1"/>
    <col min="12800" max="12800" width="16.7109375" style="156" customWidth="1"/>
    <col min="12801" max="12801" width="91.28125" style="156" customWidth="1"/>
    <col min="12802" max="12802" width="5.00390625" style="156" customWidth="1"/>
    <col min="12803" max="12803" width="15.00390625" style="156" customWidth="1"/>
    <col min="12804" max="12804" width="14.00390625" style="156" customWidth="1"/>
    <col min="12805" max="12807" width="16.7109375" style="156" customWidth="1"/>
    <col min="12808" max="12810" width="13.7109375" style="156" customWidth="1"/>
    <col min="12811" max="12821" width="13.421875" style="156" customWidth="1"/>
    <col min="12822" max="12859" width="13.57421875" style="156" hidden="1" customWidth="1"/>
    <col min="12860" max="13053" width="13.421875" style="156" customWidth="1"/>
    <col min="13054" max="13054" width="4.28125" style="156" customWidth="1"/>
    <col min="13055" max="13055" width="8.8515625" style="156" customWidth="1"/>
    <col min="13056" max="13056" width="16.7109375" style="156" customWidth="1"/>
    <col min="13057" max="13057" width="91.28125" style="156" customWidth="1"/>
    <col min="13058" max="13058" width="5.00390625" style="156" customWidth="1"/>
    <col min="13059" max="13059" width="15.00390625" style="156" customWidth="1"/>
    <col min="13060" max="13060" width="14.00390625" style="156" customWidth="1"/>
    <col min="13061" max="13063" width="16.7109375" style="156" customWidth="1"/>
    <col min="13064" max="13066" width="13.7109375" style="156" customWidth="1"/>
    <col min="13067" max="13077" width="13.421875" style="156" customWidth="1"/>
    <col min="13078" max="13115" width="13.57421875" style="156" hidden="1" customWidth="1"/>
    <col min="13116" max="13309" width="13.421875" style="156" customWidth="1"/>
    <col min="13310" max="13310" width="4.28125" style="156" customWidth="1"/>
    <col min="13311" max="13311" width="8.8515625" style="156" customWidth="1"/>
    <col min="13312" max="13312" width="16.7109375" style="156" customWidth="1"/>
    <col min="13313" max="13313" width="91.28125" style="156" customWidth="1"/>
    <col min="13314" max="13314" width="5.00390625" style="156" customWidth="1"/>
    <col min="13315" max="13315" width="15.00390625" style="156" customWidth="1"/>
    <col min="13316" max="13316" width="14.00390625" style="156" customWidth="1"/>
    <col min="13317" max="13319" width="16.7109375" style="156" customWidth="1"/>
    <col min="13320" max="13322" width="13.7109375" style="156" customWidth="1"/>
    <col min="13323" max="13333" width="13.421875" style="156" customWidth="1"/>
    <col min="13334" max="13371" width="13.57421875" style="156" hidden="1" customWidth="1"/>
    <col min="13372" max="13565" width="13.421875" style="156" customWidth="1"/>
    <col min="13566" max="13566" width="4.28125" style="156" customWidth="1"/>
    <col min="13567" max="13567" width="8.8515625" style="156" customWidth="1"/>
    <col min="13568" max="13568" width="16.7109375" style="156" customWidth="1"/>
    <col min="13569" max="13569" width="91.28125" style="156" customWidth="1"/>
    <col min="13570" max="13570" width="5.00390625" style="156" customWidth="1"/>
    <col min="13571" max="13571" width="15.00390625" style="156" customWidth="1"/>
    <col min="13572" max="13572" width="14.00390625" style="156" customWidth="1"/>
    <col min="13573" max="13575" width="16.7109375" style="156" customWidth="1"/>
    <col min="13576" max="13578" width="13.7109375" style="156" customWidth="1"/>
    <col min="13579" max="13589" width="13.421875" style="156" customWidth="1"/>
    <col min="13590" max="13627" width="13.57421875" style="156" hidden="1" customWidth="1"/>
    <col min="13628" max="13821" width="13.421875" style="156" customWidth="1"/>
    <col min="13822" max="13822" width="4.28125" style="156" customWidth="1"/>
    <col min="13823" max="13823" width="8.8515625" style="156" customWidth="1"/>
    <col min="13824" max="13824" width="16.7109375" style="156" customWidth="1"/>
    <col min="13825" max="13825" width="91.28125" style="156" customWidth="1"/>
    <col min="13826" max="13826" width="5.00390625" style="156" customWidth="1"/>
    <col min="13827" max="13827" width="15.00390625" style="156" customWidth="1"/>
    <col min="13828" max="13828" width="14.00390625" style="156" customWidth="1"/>
    <col min="13829" max="13831" width="16.7109375" style="156" customWidth="1"/>
    <col min="13832" max="13834" width="13.7109375" style="156" customWidth="1"/>
    <col min="13835" max="13845" width="13.421875" style="156" customWidth="1"/>
    <col min="13846" max="13883" width="13.57421875" style="156" hidden="1" customWidth="1"/>
    <col min="13884" max="14077" width="13.421875" style="156" customWidth="1"/>
    <col min="14078" max="14078" width="4.28125" style="156" customWidth="1"/>
    <col min="14079" max="14079" width="8.8515625" style="156" customWidth="1"/>
    <col min="14080" max="14080" width="16.7109375" style="156" customWidth="1"/>
    <col min="14081" max="14081" width="91.28125" style="156" customWidth="1"/>
    <col min="14082" max="14082" width="5.00390625" style="156" customWidth="1"/>
    <col min="14083" max="14083" width="15.00390625" style="156" customWidth="1"/>
    <col min="14084" max="14084" width="14.00390625" style="156" customWidth="1"/>
    <col min="14085" max="14087" width="16.7109375" style="156" customWidth="1"/>
    <col min="14088" max="14090" width="13.7109375" style="156" customWidth="1"/>
    <col min="14091" max="14101" width="13.421875" style="156" customWidth="1"/>
    <col min="14102" max="14139" width="13.57421875" style="156" hidden="1" customWidth="1"/>
    <col min="14140" max="14333" width="13.421875" style="156" customWidth="1"/>
    <col min="14334" max="14334" width="4.28125" style="156" customWidth="1"/>
    <col min="14335" max="14335" width="8.8515625" style="156" customWidth="1"/>
    <col min="14336" max="14336" width="16.7109375" style="156" customWidth="1"/>
    <col min="14337" max="14337" width="91.28125" style="156" customWidth="1"/>
    <col min="14338" max="14338" width="5.00390625" style="156" customWidth="1"/>
    <col min="14339" max="14339" width="15.00390625" style="156" customWidth="1"/>
    <col min="14340" max="14340" width="14.00390625" style="156" customWidth="1"/>
    <col min="14341" max="14343" width="16.7109375" style="156" customWidth="1"/>
    <col min="14344" max="14346" width="13.7109375" style="156" customWidth="1"/>
    <col min="14347" max="14357" width="13.421875" style="156" customWidth="1"/>
    <col min="14358" max="14395" width="13.57421875" style="156" hidden="1" customWidth="1"/>
    <col min="14396" max="14589" width="13.421875" style="156" customWidth="1"/>
    <col min="14590" max="14590" width="4.28125" style="156" customWidth="1"/>
    <col min="14591" max="14591" width="8.8515625" style="156" customWidth="1"/>
    <col min="14592" max="14592" width="16.7109375" style="156" customWidth="1"/>
    <col min="14593" max="14593" width="91.28125" style="156" customWidth="1"/>
    <col min="14594" max="14594" width="5.00390625" style="156" customWidth="1"/>
    <col min="14595" max="14595" width="15.00390625" style="156" customWidth="1"/>
    <col min="14596" max="14596" width="14.00390625" style="156" customWidth="1"/>
    <col min="14597" max="14599" width="16.7109375" style="156" customWidth="1"/>
    <col min="14600" max="14602" width="13.7109375" style="156" customWidth="1"/>
    <col min="14603" max="14613" width="13.421875" style="156" customWidth="1"/>
    <col min="14614" max="14651" width="13.57421875" style="156" hidden="1" customWidth="1"/>
    <col min="14652" max="14845" width="13.421875" style="156" customWidth="1"/>
    <col min="14846" max="14846" width="4.28125" style="156" customWidth="1"/>
    <col min="14847" max="14847" width="8.8515625" style="156" customWidth="1"/>
    <col min="14848" max="14848" width="16.7109375" style="156" customWidth="1"/>
    <col min="14849" max="14849" width="91.28125" style="156" customWidth="1"/>
    <col min="14850" max="14850" width="5.00390625" style="156" customWidth="1"/>
    <col min="14851" max="14851" width="15.00390625" style="156" customWidth="1"/>
    <col min="14852" max="14852" width="14.00390625" style="156" customWidth="1"/>
    <col min="14853" max="14855" width="16.7109375" style="156" customWidth="1"/>
    <col min="14856" max="14858" width="13.7109375" style="156" customWidth="1"/>
    <col min="14859" max="14869" width="13.421875" style="156" customWidth="1"/>
    <col min="14870" max="14907" width="13.57421875" style="156" hidden="1" customWidth="1"/>
    <col min="14908" max="15101" width="13.421875" style="156" customWidth="1"/>
    <col min="15102" max="15102" width="4.28125" style="156" customWidth="1"/>
    <col min="15103" max="15103" width="8.8515625" style="156" customWidth="1"/>
    <col min="15104" max="15104" width="16.7109375" style="156" customWidth="1"/>
    <col min="15105" max="15105" width="91.28125" style="156" customWidth="1"/>
    <col min="15106" max="15106" width="5.00390625" style="156" customWidth="1"/>
    <col min="15107" max="15107" width="15.00390625" style="156" customWidth="1"/>
    <col min="15108" max="15108" width="14.00390625" style="156" customWidth="1"/>
    <col min="15109" max="15111" width="16.7109375" style="156" customWidth="1"/>
    <col min="15112" max="15114" width="13.7109375" style="156" customWidth="1"/>
    <col min="15115" max="15125" width="13.421875" style="156" customWidth="1"/>
    <col min="15126" max="15163" width="13.57421875" style="156" hidden="1" customWidth="1"/>
    <col min="15164" max="15357" width="13.421875" style="156" customWidth="1"/>
    <col min="15358" max="15358" width="4.28125" style="156" customWidth="1"/>
    <col min="15359" max="15359" width="8.8515625" style="156" customWidth="1"/>
    <col min="15360" max="15360" width="16.7109375" style="156" customWidth="1"/>
    <col min="15361" max="15361" width="91.28125" style="156" customWidth="1"/>
    <col min="15362" max="15362" width="5.00390625" style="156" customWidth="1"/>
    <col min="15363" max="15363" width="15.00390625" style="156" customWidth="1"/>
    <col min="15364" max="15364" width="14.00390625" style="156" customWidth="1"/>
    <col min="15365" max="15367" width="16.7109375" style="156" customWidth="1"/>
    <col min="15368" max="15370" width="13.7109375" style="156" customWidth="1"/>
    <col min="15371" max="15381" width="13.421875" style="156" customWidth="1"/>
    <col min="15382" max="15419" width="13.57421875" style="156" hidden="1" customWidth="1"/>
    <col min="15420" max="15613" width="13.421875" style="156" customWidth="1"/>
    <col min="15614" max="15614" width="4.28125" style="156" customWidth="1"/>
    <col min="15615" max="15615" width="8.8515625" style="156" customWidth="1"/>
    <col min="15616" max="15616" width="16.7109375" style="156" customWidth="1"/>
    <col min="15617" max="15617" width="91.28125" style="156" customWidth="1"/>
    <col min="15618" max="15618" width="5.00390625" style="156" customWidth="1"/>
    <col min="15619" max="15619" width="15.00390625" style="156" customWidth="1"/>
    <col min="15620" max="15620" width="14.00390625" style="156" customWidth="1"/>
    <col min="15621" max="15623" width="16.7109375" style="156" customWidth="1"/>
    <col min="15624" max="15626" width="13.7109375" style="156" customWidth="1"/>
    <col min="15627" max="15637" width="13.421875" style="156" customWidth="1"/>
    <col min="15638" max="15675" width="13.57421875" style="156" hidden="1" customWidth="1"/>
    <col min="15676" max="15869" width="13.421875" style="156" customWidth="1"/>
    <col min="15870" max="15870" width="4.28125" style="156" customWidth="1"/>
    <col min="15871" max="15871" width="8.8515625" style="156" customWidth="1"/>
    <col min="15872" max="15872" width="16.7109375" style="156" customWidth="1"/>
    <col min="15873" max="15873" width="91.28125" style="156" customWidth="1"/>
    <col min="15874" max="15874" width="5.00390625" style="156" customWidth="1"/>
    <col min="15875" max="15875" width="15.00390625" style="156" customWidth="1"/>
    <col min="15876" max="15876" width="14.00390625" style="156" customWidth="1"/>
    <col min="15877" max="15879" width="16.7109375" style="156" customWidth="1"/>
    <col min="15880" max="15882" width="13.7109375" style="156" customWidth="1"/>
    <col min="15883" max="15893" width="13.421875" style="156" customWidth="1"/>
    <col min="15894" max="15931" width="13.57421875" style="156" hidden="1" customWidth="1"/>
    <col min="15932" max="16125" width="13.421875" style="156" customWidth="1"/>
    <col min="16126" max="16126" width="4.28125" style="156" customWidth="1"/>
    <col min="16127" max="16127" width="8.8515625" style="156" customWidth="1"/>
    <col min="16128" max="16128" width="16.7109375" style="156" customWidth="1"/>
    <col min="16129" max="16129" width="91.28125" style="156" customWidth="1"/>
    <col min="16130" max="16130" width="5.00390625" style="156" customWidth="1"/>
    <col min="16131" max="16131" width="15.00390625" style="156" customWidth="1"/>
    <col min="16132" max="16132" width="14.00390625" style="156" customWidth="1"/>
    <col min="16133" max="16135" width="16.7109375" style="156" customWidth="1"/>
    <col min="16136" max="16138" width="13.7109375" style="156" customWidth="1"/>
    <col min="16139" max="16149" width="13.421875" style="156" customWidth="1"/>
    <col min="16150" max="16187" width="13.57421875" style="156" hidden="1" customWidth="1"/>
    <col min="16188" max="16384" width="13.421875" style="156" customWidth="1"/>
  </cols>
  <sheetData>
    <row r="1" spans="1:13" ht="23.25">
      <c r="A1" s="244" t="s">
        <v>447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4" ht="12">
      <c r="A2" s="245" t="s">
        <v>317</v>
      </c>
      <c r="B2" s="245"/>
      <c r="C2" s="245"/>
      <c r="D2" s="242" t="s">
        <v>453</v>
      </c>
      <c r="E2" s="246" t="s">
        <v>318</v>
      </c>
      <c r="F2" s="246"/>
      <c r="G2" s="246" t="s">
        <v>20</v>
      </c>
      <c r="H2" s="247" t="s">
        <v>319</v>
      </c>
      <c r="I2" s="248" t="s">
        <v>452</v>
      </c>
      <c r="J2" s="248"/>
      <c r="K2" s="248"/>
      <c r="L2" s="248"/>
      <c r="M2" s="249"/>
      <c r="N2" s="157"/>
    </row>
    <row r="3" spans="1:14" ht="12">
      <c r="A3" s="245"/>
      <c r="B3" s="245"/>
      <c r="C3" s="245"/>
      <c r="D3" s="242"/>
      <c r="E3" s="246"/>
      <c r="F3" s="246"/>
      <c r="G3" s="246"/>
      <c r="H3" s="246"/>
      <c r="I3" s="250"/>
      <c r="J3" s="250"/>
      <c r="K3" s="250"/>
      <c r="L3" s="250"/>
      <c r="M3" s="251"/>
      <c r="N3" s="157"/>
    </row>
    <row r="4" spans="1:14" ht="12">
      <c r="A4" s="241" t="s">
        <v>321</v>
      </c>
      <c r="B4" s="241"/>
      <c r="C4" s="241"/>
      <c r="D4" s="242" t="s">
        <v>458</v>
      </c>
      <c r="E4" s="240" t="s">
        <v>322</v>
      </c>
      <c r="F4" s="240"/>
      <c r="G4" s="240"/>
      <c r="H4" s="234" t="s">
        <v>28</v>
      </c>
      <c r="I4" s="243" t="s">
        <v>320</v>
      </c>
      <c r="J4" s="243"/>
      <c r="K4" s="243"/>
      <c r="L4" s="243"/>
      <c r="M4" s="243"/>
      <c r="N4" s="157"/>
    </row>
    <row r="5" spans="1:14" ht="12">
      <c r="A5" s="241"/>
      <c r="B5" s="241"/>
      <c r="C5" s="241"/>
      <c r="D5" s="242"/>
      <c r="E5" s="234"/>
      <c r="F5" s="240"/>
      <c r="G5" s="240"/>
      <c r="H5" s="240"/>
      <c r="I5" s="240"/>
      <c r="J5" s="243"/>
      <c r="K5" s="243"/>
      <c r="L5" s="243"/>
      <c r="M5" s="243"/>
      <c r="N5" s="157"/>
    </row>
    <row r="6" spans="1:14" ht="12">
      <c r="A6" s="241" t="s">
        <v>323</v>
      </c>
      <c r="B6" s="241"/>
      <c r="C6" s="241"/>
      <c r="D6" s="234" t="s">
        <v>20</v>
      </c>
      <c r="E6" s="240" t="s">
        <v>324</v>
      </c>
      <c r="F6" s="240"/>
      <c r="G6" s="240" t="s">
        <v>20</v>
      </c>
      <c r="H6" s="234" t="s">
        <v>27</v>
      </c>
      <c r="I6" s="239"/>
      <c r="J6" s="239"/>
      <c r="K6" s="239"/>
      <c r="L6" s="239"/>
      <c r="M6" s="239"/>
      <c r="N6" s="157"/>
    </row>
    <row r="7" spans="1:14" ht="12">
      <c r="A7" s="241"/>
      <c r="B7" s="241"/>
      <c r="C7" s="241"/>
      <c r="D7" s="234"/>
      <c r="E7" s="234"/>
      <c r="F7" s="240"/>
      <c r="G7" s="240"/>
      <c r="H7" s="240"/>
      <c r="I7" s="240"/>
      <c r="J7" s="239"/>
      <c r="K7" s="239"/>
      <c r="L7" s="239"/>
      <c r="M7" s="239"/>
      <c r="N7" s="157"/>
    </row>
    <row r="8" spans="1:14" ht="13.5" thickBot="1">
      <c r="A8" s="235" t="s">
        <v>325</v>
      </c>
      <c r="B8" s="235"/>
      <c r="C8" s="235"/>
      <c r="D8" s="236" t="s">
        <v>20</v>
      </c>
      <c r="E8" s="237" t="s">
        <v>326</v>
      </c>
      <c r="F8" s="237"/>
      <c r="G8" s="237"/>
      <c r="H8" s="236" t="s">
        <v>327</v>
      </c>
      <c r="I8" s="238"/>
      <c r="J8" s="238"/>
      <c r="K8" s="238"/>
      <c r="L8" s="238"/>
      <c r="M8" s="238"/>
      <c r="N8" s="157"/>
    </row>
    <row r="9" spans="1:14" ht="13.5" thickBot="1">
      <c r="A9" s="235"/>
      <c r="B9" s="235"/>
      <c r="C9" s="235"/>
      <c r="D9" s="236"/>
      <c r="E9" s="236"/>
      <c r="F9" s="237"/>
      <c r="G9" s="237"/>
      <c r="H9" s="237"/>
      <c r="I9" s="237"/>
      <c r="J9" s="238"/>
      <c r="K9" s="238"/>
      <c r="L9" s="238"/>
      <c r="M9" s="238"/>
      <c r="N9" s="157"/>
    </row>
    <row r="10" spans="1:14" ht="12">
      <c r="A10" s="158" t="s">
        <v>328</v>
      </c>
      <c r="B10" s="159" t="s">
        <v>329</v>
      </c>
      <c r="C10" s="159" t="s">
        <v>53</v>
      </c>
      <c r="D10" s="159" t="s">
        <v>330</v>
      </c>
      <c r="E10" s="159" t="s">
        <v>108</v>
      </c>
      <c r="F10" s="160" t="s">
        <v>109</v>
      </c>
      <c r="G10" s="161" t="s">
        <v>331</v>
      </c>
      <c r="H10" s="232" t="s">
        <v>332</v>
      </c>
      <c r="I10" s="232"/>
      <c r="J10" s="232"/>
      <c r="K10" s="232" t="s">
        <v>333</v>
      </c>
      <c r="L10" s="232"/>
      <c r="M10" s="162" t="s">
        <v>334</v>
      </c>
      <c r="N10" s="163"/>
    </row>
    <row r="11" spans="1:59" ht="13.5" thickBot="1">
      <c r="A11" s="164" t="s">
        <v>20</v>
      </c>
      <c r="B11" s="165" t="s">
        <v>20</v>
      </c>
      <c r="C11" s="165" t="s">
        <v>20</v>
      </c>
      <c r="D11" s="166" t="s">
        <v>335</v>
      </c>
      <c r="E11" s="165" t="s">
        <v>20</v>
      </c>
      <c r="F11" s="165" t="s">
        <v>20</v>
      </c>
      <c r="G11" s="167" t="s">
        <v>336</v>
      </c>
      <c r="H11" s="168" t="s">
        <v>337</v>
      </c>
      <c r="I11" s="169" t="s">
        <v>338</v>
      </c>
      <c r="J11" s="170" t="s">
        <v>339</v>
      </c>
      <c r="K11" s="168" t="s">
        <v>340</v>
      </c>
      <c r="L11" s="170" t="s">
        <v>339</v>
      </c>
      <c r="M11" s="171" t="s">
        <v>341</v>
      </c>
      <c r="N11" s="163"/>
      <c r="W11" s="172" t="s">
        <v>342</v>
      </c>
      <c r="X11" s="172" t="s">
        <v>343</v>
      </c>
      <c r="Y11" s="172" t="s">
        <v>344</v>
      </c>
      <c r="Z11" s="172" t="s">
        <v>345</v>
      </c>
      <c r="AA11" s="172" t="s">
        <v>346</v>
      </c>
      <c r="AB11" s="172" t="s">
        <v>347</v>
      </c>
      <c r="AC11" s="172" t="s">
        <v>348</v>
      </c>
      <c r="AD11" s="172" t="s">
        <v>349</v>
      </c>
      <c r="AE11" s="172" t="s">
        <v>350</v>
      </c>
      <c r="BE11" s="172" t="s">
        <v>351</v>
      </c>
      <c r="BF11" s="172" t="s">
        <v>352</v>
      </c>
      <c r="BG11" s="172" t="s">
        <v>353</v>
      </c>
    </row>
    <row r="12" spans="1:39" ht="12">
      <c r="A12" s="177"/>
      <c r="B12" s="178"/>
      <c r="C12" s="178" t="s">
        <v>356</v>
      </c>
      <c r="D12" s="178" t="s">
        <v>357</v>
      </c>
      <c r="E12" s="177" t="s">
        <v>20</v>
      </c>
      <c r="F12" s="177" t="s">
        <v>20</v>
      </c>
      <c r="G12" s="177" t="s">
        <v>20</v>
      </c>
      <c r="H12" s="173">
        <f>SUM(H13:H16)</f>
        <v>0</v>
      </c>
      <c r="I12" s="173">
        <f>SUM(I13:I16)</f>
        <v>0</v>
      </c>
      <c r="J12" s="173">
        <f>SUM(J13:J16)</f>
        <v>0</v>
      </c>
      <c r="K12" s="172"/>
      <c r="L12" s="173">
        <f>SUM(L13:L16)</f>
        <v>0</v>
      </c>
      <c r="M12" s="172"/>
      <c r="AA12" s="172"/>
      <c r="AK12" s="173">
        <f>SUM(AB13:AB16)</f>
        <v>0</v>
      </c>
      <c r="AL12" s="173">
        <f>SUM(AC13:AC16)</f>
        <v>0</v>
      </c>
      <c r="AM12" s="173">
        <f>SUM(AD13:AD16)</f>
        <v>0</v>
      </c>
    </row>
    <row r="13" spans="1:54" ht="12">
      <c r="A13" s="174" t="s">
        <v>128</v>
      </c>
      <c r="B13" s="174"/>
      <c r="C13" s="174" t="s">
        <v>358</v>
      </c>
      <c r="D13" s="174" t="s">
        <v>359</v>
      </c>
      <c r="E13" s="174" t="s">
        <v>360</v>
      </c>
      <c r="F13" s="175">
        <v>12</v>
      </c>
      <c r="G13" s="175">
        <v>0</v>
      </c>
      <c r="H13" s="175">
        <v>0</v>
      </c>
      <c r="I13" s="175">
        <f>F13*AH13</f>
        <v>0</v>
      </c>
      <c r="J13" s="175">
        <f>F13*G13</f>
        <v>0</v>
      </c>
      <c r="K13" s="175">
        <v>0</v>
      </c>
      <c r="L13" s="175">
        <f>F13*K13</f>
        <v>0</v>
      </c>
      <c r="M13" s="176" t="s">
        <v>354</v>
      </c>
      <c r="V13" s="175">
        <f>IF(AI13="7",AZ13,0)</f>
        <v>0</v>
      </c>
      <c r="W13" s="175">
        <f>IF(AI13="7",BA13,0)</f>
        <v>0</v>
      </c>
      <c r="X13" s="175">
        <f>IF(AI13="2",AZ13,0)</f>
        <v>0</v>
      </c>
      <c r="Y13" s="175">
        <f>IF(AI13="2",BA13,0)</f>
        <v>0</v>
      </c>
      <c r="Z13" s="175">
        <f>IF(AI13="0",BB13,0)</f>
        <v>0</v>
      </c>
      <c r="AA13" s="172"/>
      <c r="AB13" s="175">
        <f>IF(AF13=0,J13,0)</f>
        <v>0</v>
      </c>
      <c r="AC13" s="175">
        <f>IF(AF13=15,J13,0)</f>
        <v>0</v>
      </c>
      <c r="AD13" s="175">
        <f>IF(AF13=21,J13,0)</f>
        <v>0</v>
      </c>
      <c r="AF13" s="175">
        <v>21</v>
      </c>
      <c r="AG13" s="175">
        <f>G13*0</f>
        <v>0</v>
      </c>
      <c r="AH13" s="175">
        <f>G13*(1-0)</f>
        <v>0</v>
      </c>
      <c r="AI13" s="176" t="s">
        <v>18</v>
      </c>
      <c r="AN13" s="175">
        <f>AO13+AP13</f>
        <v>0</v>
      </c>
      <c r="AO13" s="175">
        <f>F13*AG13</f>
        <v>0</v>
      </c>
      <c r="AP13" s="175">
        <f>F13*AH13</f>
        <v>0</v>
      </c>
      <c r="AQ13" s="176" t="s">
        <v>361</v>
      </c>
      <c r="AR13" s="176" t="s">
        <v>362</v>
      </c>
      <c r="AS13" s="172" t="s">
        <v>355</v>
      </c>
      <c r="AU13" s="175">
        <f>AO13+AP13</f>
        <v>0</v>
      </c>
      <c r="AV13" s="175">
        <f>G13/(100-AW13)*100</f>
        <v>0</v>
      </c>
      <c r="AW13" s="175">
        <v>0</v>
      </c>
      <c r="AX13" s="175">
        <f>L13</f>
        <v>0</v>
      </c>
      <c r="AZ13" s="175">
        <f>F13*AG13</f>
        <v>0</v>
      </c>
      <c r="BA13" s="175">
        <f>F13*AH13</f>
        <v>0</v>
      </c>
      <c r="BB13" s="175">
        <f>F13*G13</f>
        <v>0</v>
      </c>
    </row>
    <row r="14" spans="1:54" ht="12">
      <c r="A14" s="174" t="s">
        <v>141</v>
      </c>
      <c r="B14" s="174"/>
      <c r="C14" s="174" t="s">
        <v>363</v>
      </c>
      <c r="D14" s="174" t="s">
        <v>359</v>
      </c>
      <c r="E14" s="174" t="s">
        <v>360</v>
      </c>
      <c r="F14" s="175">
        <v>8</v>
      </c>
      <c r="G14" s="175">
        <v>0</v>
      </c>
      <c r="H14" s="175">
        <f>F14*AG14</f>
        <v>0</v>
      </c>
      <c r="I14" s="175">
        <f>F14*AH14</f>
        <v>0</v>
      </c>
      <c r="J14" s="175">
        <f>F14*G14</f>
        <v>0</v>
      </c>
      <c r="K14" s="175">
        <v>0</v>
      </c>
      <c r="L14" s="175">
        <f>F14*K14</f>
        <v>0</v>
      </c>
      <c r="M14" s="176" t="s">
        <v>354</v>
      </c>
      <c r="V14" s="175">
        <f>IF(AI14="7",AZ14,0)</f>
        <v>0</v>
      </c>
      <c r="W14" s="175">
        <f>IF(AI14="7",BA14,0)</f>
        <v>0</v>
      </c>
      <c r="X14" s="175">
        <f>IF(AI14="2",AZ14,0)</f>
        <v>0</v>
      </c>
      <c r="Y14" s="175">
        <f>IF(AI14="2",BA14,0)</f>
        <v>0</v>
      </c>
      <c r="Z14" s="175">
        <f>IF(AI14="0",BB14,0)</f>
        <v>0</v>
      </c>
      <c r="AA14" s="172"/>
      <c r="AB14" s="175">
        <f>IF(AF14=0,J14,0)</f>
        <v>0</v>
      </c>
      <c r="AC14" s="175">
        <f>IF(AF14=15,J14,0)</f>
        <v>0</v>
      </c>
      <c r="AD14" s="175">
        <f>IF(AF14=21,J14,0)</f>
        <v>0</v>
      </c>
      <c r="AF14" s="175">
        <v>21</v>
      </c>
      <c r="AG14" s="175">
        <f>G14*0</f>
        <v>0</v>
      </c>
      <c r="AH14" s="175">
        <f>G14*(1-0)</f>
        <v>0</v>
      </c>
      <c r="AI14" s="176" t="s">
        <v>18</v>
      </c>
      <c r="AN14" s="175">
        <f>AO14+AP14</f>
        <v>0</v>
      </c>
      <c r="AO14" s="175">
        <f>F14*AG14</f>
        <v>0</v>
      </c>
      <c r="AP14" s="175">
        <f>F14*AH14</f>
        <v>0</v>
      </c>
      <c r="AQ14" s="176" t="s">
        <v>361</v>
      </c>
      <c r="AR14" s="176" t="s">
        <v>362</v>
      </c>
      <c r="AS14" s="172" t="s">
        <v>355</v>
      </c>
      <c r="AU14" s="175">
        <f>AO14+AP14</f>
        <v>0</v>
      </c>
      <c r="AV14" s="175">
        <f>G14/(100-AW14)*100</f>
        <v>0</v>
      </c>
      <c r="AW14" s="175">
        <v>0</v>
      </c>
      <c r="AX14" s="175">
        <f>L14</f>
        <v>0</v>
      </c>
      <c r="AZ14" s="175">
        <f>F14*AG14</f>
        <v>0</v>
      </c>
      <c r="BA14" s="175">
        <f>F14*AH14</f>
        <v>0</v>
      </c>
      <c r="BB14" s="175">
        <f>F14*G14</f>
        <v>0</v>
      </c>
    </row>
    <row r="15" spans="1:54" ht="12">
      <c r="A15" s="174" t="s">
        <v>130</v>
      </c>
      <c r="B15" s="174"/>
      <c r="C15" s="174" t="s">
        <v>364</v>
      </c>
      <c r="D15" s="174" t="s">
        <v>365</v>
      </c>
      <c r="E15" s="174" t="s">
        <v>360</v>
      </c>
      <c r="F15" s="175">
        <v>20</v>
      </c>
      <c r="G15" s="175">
        <v>0</v>
      </c>
      <c r="H15" s="175">
        <f>F15*AG15</f>
        <v>0</v>
      </c>
      <c r="I15" s="175">
        <f>F15*AH15</f>
        <v>0</v>
      </c>
      <c r="J15" s="175">
        <f>F15*G15</f>
        <v>0</v>
      </c>
      <c r="K15" s="175">
        <v>0</v>
      </c>
      <c r="L15" s="175">
        <f>F15*K15</f>
        <v>0</v>
      </c>
      <c r="M15" s="176" t="s">
        <v>354</v>
      </c>
      <c r="V15" s="175">
        <f>IF(AI15="7",AZ15,0)</f>
        <v>0</v>
      </c>
      <c r="W15" s="175">
        <f>IF(AI15="7",BA15,0)</f>
        <v>0</v>
      </c>
      <c r="X15" s="175">
        <f>IF(AI15="2",AZ15,0)</f>
        <v>0</v>
      </c>
      <c r="Y15" s="175">
        <f>IF(AI15="2",BA15,0)</f>
        <v>0</v>
      </c>
      <c r="Z15" s="175">
        <f>IF(AI15="0",BB15,0)</f>
        <v>0</v>
      </c>
      <c r="AA15" s="172"/>
      <c r="AB15" s="175">
        <f>IF(AF15=0,J15,0)</f>
        <v>0</v>
      </c>
      <c r="AC15" s="175">
        <f>IF(AF15=15,J15,0)</f>
        <v>0</v>
      </c>
      <c r="AD15" s="175">
        <f>IF(AF15=21,J15,0)</f>
        <v>0</v>
      </c>
      <c r="AF15" s="175">
        <v>21</v>
      </c>
      <c r="AG15" s="175">
        <f>G15*0</f>
        <v>0</v>
      </c>
      <c r="AH15" s="175">
        <f>G15*(1-0)</f>
        <v>0</v>
      </c>
      <c r="AI15" s="176" t="s">
        <v>18</v>
      </c>
      <c r="AN15" s="175">
        <f>AO15+AP15</f>
        <v>0</v>
      </c>
      <c r="AO15" s="175">
        <f>F15*AG15</f>
        <v>0</v>
      </c>
      <c r="AP15" s="175">
        <f>F15*AH15</f>
        <v>0</v>
      </c>
      <c r="AQ15" s="176" t="s">
        <v>361</v>
      </c>
      <c r="AR15" s="176" t="s">
        <v>362</v>
      </c>
      <c r="AS15" s="172" t="s">
        <v>355</v>
      </c>
      <c r="AU15" s="175">
        <f>AO15+AP15</f>
        <v>0</v>
      </c>
      <c r="AV15" s="175">
        <f>G15/(100-AW15)*100</f>
        <v>0</v>
      </c>
      <c r="AW15" s="175">
        <v>0</v>
      </c>
      <c r="AX15" s="175">
        <f>L15</f>
        <v>0</v>
      </c>
      <c r="AZ15" s="175">
        <f>F15*AG15</f>
        <v>0</v>
      </c>
      <c r="BA15" s="175">
        <f>F15*AH15</f>
        <v>0</v>
      </c>
      <c r="BB15" s="175">
        <f>F15*G15</f>
        <v>0</v>
      </c>
    </row>
    <row r="16" spans="1:54" ht="12">
      <c r="A16" s="174" t="s">
        <v>149</v>
      </c>
      <c r="B16" s="174"/>
      <c r="C16" s="174" t="s">
        <v>366</v>
      </c>
      <c r="D16" s="174" t="s">
        <v>448</v>
      </c>
      <c r="E16" s="174" t="s">
        <v>360</v>
      </c>
      <c r="F16" s="175">
        <v>50</v>
      </c>
      <c r="G16" s="175">
        <v>0</v>
      </c>
      <c r="H16" s="175">
        <f>F16*AG16</f>
        <v>0</v>
      </c>
      <c r="I16" s="175">
        <f>F16*AH16</f>
        <v>0</v>
      </c>
      <c r="J16" s="175">
        <f>F16*G16</f>
        <v>0</v>
      </c>
      <c r="K16" s="175">
        <v>0</v>
      </c>
      <c r="L16" s="175">
        <f>F16*K16</f>
        <v>0</v>
      </c>
      <c r="M16" s="176" t="s">
        <v>354</v>
      </c>
      <c r="V16" s="175">
        <f>IF(AI16="7",AZ16,0)</f>
        <v>0</v>
      </c>
      <c r="W16" s="175">
        <f>IF(AI16="7",BA16,0)</f>
        <v>0</v>
      </c>
      <c r="X16" s="175">
        <f>IF(AI16="2",AZ16,0)</f>
        <v>0</v>
      </c>
      <c r="Y16" s="175">
        <f>IF(AI16="2",BA16,0)</f>
        <v>0</v>
      </c>
      <c r="Z16" s="175">
        <f>IF(AI16="0",BB16,0)</f>
        <v>0</v>
      </c>
      <c r="AA16" s="172"/>
      <c r="AB16" s="175">
        <f>IF(AF16=0,J16,0)</f>
        <v>0</v>
      </c>
      <c r="AC16" s="175">
        <f>IF(AF16=15,J16,0)</f>
        <v>0</v>
      </c>
      <c r="AD16" s="175">
        <f>IF(AF16=21,J16,0)</f>
        <v>0</v>
      </c>
      <c r="AF16" s="175">
        <v>21</v>
      </c>
      <c r="AG16" s="175">
        <f>G16*0</f>
        <v>0</v>
      </c>
      <c r="AH16" s="175">
        <f>G16*(1-0)</f>
        <v>0</v>
      </c>
      <c r="AI16" s="176" t="s">
        <v>18</v>
      </c>
      <c r="AN16" s="175">
        <f>AO16+AP16</f>
        <v>0</v>
      </c>
      <c r="AO16" s="175">
        <f>F16*AG16</f>
        <v>0</v>
      </c>
      <c r="AP16" s="175">
        <f>F16*AH16</f>
        <v>0</v>
      </c>
      <c r="AQ16" s="176" t="s">
        <v>361</v>
      </c>
      <c r="AR16" s="176" t="s">
        <v>362</v>
      </c>
      <c r="AS16" s="172" t="s">
        <v>355</v>
      </c>
      <c r="AU16" s="175">
        <f>AO16+AP16</f>
        <v>0</v>
      </c>
      <c r="AV16" s="175">
        <f>G16/(100-AW16)*100</f>
        <v>0</v>
      </c>
      <c r="AW16" s="175">
        <v>0</v>
      </c>
      <c r="AX16" s="175">
        <f>L16</f>
        <v>0</v>
      </c>
      <c r="AZ16" s="175">
        <f>F16*AG16</f>
        <v>0</v>
      </c>
      <c r="BA16" s="175">
        <f>F16*AH16</f>
        <v>0</v>
      </c>
      <c r="BB16" s="175">
        <f>F16*G16</f>
        <v>0</v>
      </c>
    </row>
    <row r="17" spans="1:39" ht="12">
      <c r="A17" s="177"/>
      <c r="B17" s="178"/>
      <c r="C17" s="178" t="s">
        <v>367</v>
      </c>
      <c r="D17" s="178" t="s">
        <v>368</v>
      </c>
      <c r="E17" s="177" t="s">
        <v>20</v>
      </c>
      <c r="F17" s="177" t="s">
        <v>20</v>
      </c>
      <c r="G17" s="177" t="s">
        <v>20</v>
      </c>
      <c r="H17" s="173">
        <f>SUM(H18:H21)</f>
        <v>0</v>
      </c>
      <c r="I17" s="173">
        <f>SUM(I18:I21)</f>
        <v>0</v>
      </c>
      <c r="J17" s="173">
        <f>SUM(J18:J21)</f>
        <v>0</v>
      </c>
      <c r="K17" s="172"/>
      <c r="L17" s="173">
        <f>SUM(L18:L21)</f>
        <v>2.07243</v>
      </c>
      <c r="M17" s="172"/>
      <c r="AA17" s="172"/>
      <c r="AK17" s="173">
        <f>SUM(AB18:AB21)</f>
        <v>0</v>
      </c>
      <c r="AL17" s="173">
        <f>SUM(AC18:AC21)</f>
        <v>0</v>
      </c>
      <c r="AM17" s="173">
        <f>SUM(AD18:AD21)</f>
        <v>0</v>
      </c>
    </row>
    <row r="18" spans="1:54" ht="12">
      <c r="A18" s="174" t="s">
        <v>77</v>
      </c>
      <c r="B18" s="174"/>
      <c r="C18" s="174" t="s">
        <v>369</v>
      </c>
      <c r="D18" s="174" t="s">
        <v>370</v>
      </c>
      <c r="E18" s="174" t="s">
        <v>268</v>
      </c>
      <c r="F18" s="175">
        <v>33</v>
      </c>
      <c r="G18" s="175">
        <v>0</v>
      </c>
      <c r="H18" s="175">
        <f>F18*AG18</f>
        <v>0</v>
      </c>
      <c r="I18" s="175">
        <f>F18*AH18</f>
        <v>0</v>
      </c>
      <c r="J18" s="175">
        <f>F18*G18</f>
        <v>0</v>
      </c>
      <c r="K18" s="175">
        <v>0.00108</v>
      </c>
      <c r="L18" s="175">
        <f>F18*K18</f>
        <v>0.03564</v>
      </c>
      <c r="M18" s="176" t="s">
        <v>354</v>
      </c>
      <c r="V18" s="175">
        <f>IF(AI18="7",AZ18,0)</f>
        <v>0</v>
      </c>
      <c r="W18" s="175">
        <f>IF(AI18="7",BA18,0)</f>
        <v>0</v>
      </c>
      <c r="X18" s="175">
        <f>IF(AI18="2",AZ18,0)</f>
        <v>0</v>
      </c>
      <c r="Y18" s="175">
        <f>IF(AI18="2",BA18,0)</f>
        <v>0</v>
      </c>
      <c r="Z18" s="175">
        <f>IF(AI18="0",BB18,0)</f>
        <v>0</v>
      </c>
      <c r="AA18" s="172"/>
      <c r="AB18" s="175">
        <f>IF(AF18=0,J18,0)</f>
        <v>0</v>
      </c>
      <c r="AC18" s="175">
        <f>IF(AF18=15,J18,0)</f>
        <v>0</v>
      </c>
      <c r="AD18" s="175">
        <f>IF(AF18=21,J18,0)</f>
        <v>0</v>
      </c>
      <c r="AF18" s="175">
        <v>21</v>
      </c>
      <c r="AG18" s="175">
        <f>G18*0.0355018230665899</f>
        <v>0</v>
      </c>
      <c r="AH18" s="175">
        <f>G18*(1-0.0355018230665899)</f>
        <v>0</v>
      </c>
      <c r="AI18" s="176" t="s">
        <v>18</v>
      </c>
      <c r="AN18" s="175">
        <f>AO18+AP18</f>
        <v>0</v>
      </c>
      <c r="AO18" s="175">
        <f>F18*AG18</f>
        <v>0</v>
      </c>
      <c r="AP18" s="175">
        <f>F18*AH18</f>
        <v>0</v>
      </c>
      <c r="AQ18" s="176" t="s">
        <v>371</v>
      </c>
      <c r="AR18" s="176" t="s">
        <v>362</v>
      </c>
      <c r="AS18" s="172" t="s">
        <v>355</v>
      </c>
      <c r="AU18" s="175">
        <f>AO18+AP18</f>
        <v>0</v>
      </c>
      <c r="AV18" s="175">
        <f>G18/(100-AW18)*100</f>
        <v>0</v>
      </c>
      <c r="AW18" s="175">
        <v>0</v>
      </c>
      <c r="AX18" s="175">
        <f>L18</f>
        <v>0.03564</v>
      </c>
      <c r="AZ18" s="175">
        <f>F18*AG18</f>
        <v>0</v>
      </c>
      <c r="BA18" s="175">
        <f>F18*AH18</f>
        <v>0</v>
      </c>
      <c r="BB18" s="175">
        <f>F18*G18</f>
        <v>0</v>
      </c>
    </row>
    <row r="19" spans="1:54" ht="12">
      <c r="A19" s="174" t="s">
        <v>22</v>
      </c>
      <c r="B19" s="174"/>
      <c r="C19" s="174" t="s">
        <v>372</v>
      </c>
      <c r="D19" s="174" t="s">
        <v>373</v>
      </c>
      <c r="E19" s="174" t="s">
        <v>144</v>
      </c>
      <c r="F19" s="175">
        <v>375</v>
      </c>
      <c r="G19" s="175">
        <v>0</v>
      </c>
      <c r="H19" s="175">
        <f>F19*AG19</f>
        <v>0</v>
      </c>
      <c r="I19" s="175">
        <f>F19*AH19</f>
        <v>0</v>
      </c>
      <c r="J19" s="175">
        <f>F19*G19</f>
        <v>0</v>
      </c>
      <c r="K19" s="175">
        <v>0.00249</v>
      </c>
      <c r="L19" s="175">
        <f>F19*K19</f>
        <v>0.93375</v>
      </c>
      <c r="M19" s="176" t="s">
        <v>354</v>
      </c>
      <c r="V19" s="175">
        <f>IF(AI19="7",AZ19,0)</f>
        <v>0</v>
      </c>
      <c r="W19" s="175">
        <f>IF(AI19="7",BA19,0)</f>
        <v>0</v>
      </c>
      <c r="X19" s="175">
        <f>IF(AI19="2",AZ19,0)</f>
        <v>0</v>
      </c>
      <c r="Y19" s="175">
        <f>IF(AI19="2",BA19,0)</f>
        <v>0</v>
      </c>
      <c r="Z19" s="175">
        <f>IF(AI19="0",BB19,0)</f>
        <v>0</v>
      </c>
      <c r="AA19" s="172"/>
      <c r="AB19" s="175">
        <f>IF(AF19=0,J19,0)</f>
        <v>0</v>
      </c>
      <c r="AC19" s="175">
        <f>IF(AF19=15,J19,0)</f>
        <v>0</v>
      </c>
      <c r="AD19" s="175">
        <f>IF(AF19=21,J19,0)</f>
        <v>0</v>
      </c>
      <c r="AF19" s="175">
        <v>21</v>
      </c>
      <c r="AG19" s="175">
        <f>G19*0.15736</f>
        <v>0</v>
      </c>
      <c r="AH19" s="175">
        <f>G19*(1-0.15736)</f>
        <v>0</v>
      </c>
      <c r="AI19" s="176" t="s">
        <v>18</v>
      </c>
      <c r="AN19" s="175">
        <f>AO19+AP19</f>
        <v>0</v>
      </c>
      <c r="AO19" s="175">
        <f>F19*AG19</f>
        <v>0</v>
      </c>
      <c r="AP19" s="175">
        <f>F19*AH19</f>
        <v>0</v>
      </c>
      <c r="AQ19" s="176" t="s">
        <v>371</v>
      </c>
      <c r="AR19" s="176" t="s">
        <v>362</v>
      </c>
      <c r="AS19" s="172" t="s">
        <v>355</v>
      </c>
      <c r="AU19" s="175">
        <f>AO19+AP19</f>
        <v>0</v>
      </c>
      <c r="AV19" s="175">
        <f>G19/(100-AW19)*100</f>
        <v>0</v>
      </c>
      <c r="AW19" s="175">
        <v>0</v>
      </c>
      <c r="AX19" s="175">
        <f>L19</f>
        <v>0.93375</v>
      </c>
      <c r="AZ19" s="175">
        <f>F19*AG19</f>
        <v>0</v>
      </c>
      <c r="BA19" s="175">
        <f>F19*AH19</f>
        <v>0</v>
      </c>
      <c r="BB19" s="175">
        <f>F19*G19</f>
        <v>0</v>
      </c>
    </row>
    <row r="20" spans="1:54" ht="12">
      <c r="A20" s="174" t="s">
        <v>165</v>
      </c>
      <c r="B20" s="174"/>
      <c r="C20" s="174" t="s">
        <v>374</v>
      </c>
      <c r="D20" s="174" t="s">
        <v>375</v>
      </c>
      <c r="E20" s="174" t="s">
        <v>144</v>
      </c>
      <c r="F20" s="175">
        <v>96</v>
      </c>
      <c r="G20" s="175">
        <v>0</v>
      </c>
      <c r="H20" s="175">
        <f>F20*AG20</f>
        <v>0</v>
      </c>
      <c r="I20" s="175">
        <f>F20*AH20</f>
        <v>0</v>
      </c>
      <c r="J20" s="175">
        <f>F20*G20</f>
        <v>0</v>
      </c>
      <c r="K20" s="175">
        <v>0.00949</v>
      </c>
      <c r="L20" s="175">
        <f>F20*K20</f>
        <v>0.9110400000000001</v>
      </c>
      <c r="M20" s="176" t="s">
        <v>354</v>
      </c>
      <c r="V20" s="175">
        <f>IF(AI20="7",AZ20,0)</f>
        <v>0</v>
      </c>
      <c r="W20" s="175">
        <f>IF(AI20="7",BA20,0)</f>
        <v>0</v>
      </c>
      <c r="X20" s="175">
        <f>IF(AI20="2",AZ20,0)</f>
        <v>0</v>
      </c>
      <c r="Y20" s="175">
        <f>IF(AI20="2",BA20,0)</f>
        <v>0</v>
      </c>
      <c r="Z20" s="175">
        <f>IF(AI20="0",BB20,0)</f>
        <v>0</v>
      </c>
      <c r="AA20" s="172"/>
      <c r="AB20" s="175">
        <f>IF(AF20=0,J20,0)</f>
        <v>0</v>
      </c>
      <c r="AC20" s="175">
        <f>IF(AF20=15,J20,0)</f>
        <v>0</v>
      </c>
      <c r="AD20" s="175">
        <f>IF(AF20=21,J20,0)</f>
        <v>0</v>
      </c>
      <c r="AF20" s="175">
        <v>21</v>
      </c>
      <c r="AG20" s="175">
        <f>G20*0.100448979591837</f>
        <v>0</v>
      </c>
      <c r="AH20" s="175">
        <f>G20*(1-0.100448979591837)</f>
        <v>0</v>
      </c>
      <c r="AI20" s="176" t="s">
        <v>18</v>
      </c>
      <c r="AN20" s="175">
        <f>AO20+AP20</f>
        <v>0</v>
      </c>
      <c r="AO20" s="175">
        <f>F20*AG20</f>
        <v>0</v>
      </c>
      <c r="AP20" s="175">
        <f>F20*AH20</f>
        <v>0</v>
      </c>
      <c r="AQ20" s="176" t="s">
        <v>371</v>
      </c>
      <c r="AR20" s="176" t="s">
        <v>362</v>
      </c>
      <c r="AS20" s="172" t="s">
        <v>355</v>
      </c>
      <c r="AU20" s="175">
        <f>AO20+AP20</f>
        <v>0</v>
      </c>
      <c r="AV20" s="175">
        <f>G20/(100-AW20)*100</f>
        <v>0</v>
      </c>
      <c r="AW20" s="175">
        <v>0</v>
      </c>
      <c r="AX20" s="175">
        <f>L20</f>
        <v>0.9110400000000001</v>
      </c>
      <c r="AZ20" s="175">
        <f>F20*AG20</f>
        <v>0</v>
      </c>
      <c r="BA20" s="175">
        <f>F20*AH20</f>
        <v>0</v>
      </c>
      <c r="BB20" s="175">
        <f>F20*G20</f>
        <v>0</v>
      </c>
    </row>
    <row r="21" spans="1:54" ht="12">
      <c r="A21" s="174" t="s">
        <v>169</v>
      </c>
      <c r="B21" s="174"/>
      <c r="C21" s="174" t="s">
        <v>376</v>
      </c>
      <c r="D21" s="174" t="s">
        <v>377</v>
      </c>
      <c r="E21" s="174" t="s">
        <v>144</v>
      </c>
      <c r="F21" s="175">
        <v>96</v>
      </c>
      <c r="G21" s="175">
        <v>0</v>
      </c>
      <c r="H21" s="175">
        <f>F21*AG21</f>
        <v>0</v>
      </c>
      <c r="I21" s="175">
        <f>F21*AH21</f>
        <v>0</v>
      </c>
      <c r="J21" s="175">
        <f>F21*G21</f>
        <v>0</v>
      </c>
      <c r="K21" s="175">
        <v>0.002</v>
      </c>
      <c r="L21" s="175">
        <f>F21*K21</f>
        <v>0.192</v>
      </c>
      <c r="M21" s="176" t="s">
        <v>354</v>
      </c>
      <c r="V21" s="175">
        <f>IF(AI21="7",AZ21,0)</f>
        <v>0</v>
      </c>
      <c r="W21" s="175">
        <f>IF(AI21="7",BA21,0)</f>
        <v>0</v>
      </c>
      <c r="X21" s="175">
        <f>IF(AI21="2",AZ21,0)</f>
        <v>0</v>
      </c>
      <c r="Y21" s="175">
        <f>IF(AI21="2",BA21,0)</f>
        <v>0</v>
      </c>
      <c r="Z21" s="175">
        <f>IF(AI21="0",BB21,0)</f>
        <v>0</v>
      </c>
      <c r="AA21" s="172"/>
      <c r="AB21" s="175">
        <f>IF(AF21=0,J21,0)</f>
        <v>0</v>
      </c>
      <c r="AC21" s="175">
        <f>IF(AF21=15,J21,0)</f>
        <v>0</v>
      </c>
      <c r="AD21" s="175">
        <f>IF(AF21=21,J21,0)</f>
        <v>0</v>
      </c>
      <c r="AF21" s="175">
        <v>21</v>
      </c>
      <c r="AG21" s="175">
        <f>G21*0.309555854643338</f>
        <v>0</v>
      </c>
      <c r="AH21" s="175">
        <f>G21*(1-0.309555854643338)</f>
        <v>0</v>
      </c>
      <c r="AI21" s="176" t="s">
        <v>18</v>
      </c>
      <c r="AN21" s="175">
        <f>AO21+AP21</f>
        <v>0</v>
      </c>
      <c r="AO21" s="175">
        <f>F21*AG21</f>
        <v>0</v>
      </c>
      <c r="AP21" s="175">
        <f>F21*AH21</f>
        <v>0</v>
      </c>
      <c r="AQ21" s="176" t="s">
        <v>371</v>
      </c>
      <c r="AR21" s="176" t="s">
        <v>362</v>
      </c>
      <c r="AS21" s="172" t="s">
        <v>355</v>
      </c>
      <c r="AU21" s="175">
        <f>AO21+AP21</f>
        <v>0</v>
      </c>
      <c r="AV21" s="175">
        <f>G21/(100-AW21)*100</f>
        <v>0</v>
      </c>
      <c r="AW21" s="175">
        <v>0</v>
      </c>
      <c r="AX21" s="175">
        <f>L21</f>
        <v>0.192</v>
      </c>
      <c r="AZ21" s="175">
        <f>F21*AG21</f>
        <v>0</v>
      </c>
      <c r="BA21" s="175">
        <f>F21*AH21</f>
        <v>0</v>
      </c>
      <c r="BB21" s="175">
        <f>F21*G21</f>
        <v>0</v>
      </c>
    </row>
    <row r="22" spans="1:37" ht="12">
      <c r="A22" s="177"/>
      <c r="B22" s="178"/>
      <c r="C22" s="178" t="s">
        <v>378</v>
      </c>
      <c r="D22" s="178" t="s">
        <v>379</v>
      </c>
      <c r="E22" s="177" t="s">
        <v>20</v>
      </c>
      <c r="F22" s="177" t="s">
        <v>20</v>
      </c>
      <c r="G22" s="177" t="s">
        <v>20</v>
      </c>
      <c r="H22" s="173">
        <f>SUM(H23:H23)</f>
        <v>0</v>
      </c>
      <c r="I22" s="173">
        <f>SUM(I23:I23)</f>
        <v>0</v>
      </c>
      <c r="J22" s="173">
        <f>SUM(J23:J23)</f>
        <v>0</v>
      </c>
      <c r="K22" s="172"/>
      <c r="L22" s="173">
        <f>SUM(L23:L23)</f>
        <v>0</v>
      </c>
      <c r="M22" s="172"/>
      <c r="Y22" s="172"/>
      <c r="AI22" s="173">
        <f>SUM(Z23:Z23)</f>
        <v>0</v>
      </c>
      <c r="AJ22" s="173">
        <f>SUM(AA23:AA23)</f>
        <v>0</v>
      </c>
      <c r="AK22" s="173">
        <f>SUM(AB23:AB23)</f>
        <v>0</v>
      </c>
    </row>
    <row r="23" spans="1:52" ht="12">
      <c r="A23" s="174" t="s">
        <v>173</v>
      </c>
      <c r="B23" s="174"/>
      <c r="C23" s="174" t="s">
        <v>380</v>
      </c>
      <c r="D23" s="174" t="s">
        <v>381</v>
      </c>
      <c r="E23" s="174" t="s">
        <v>185</v>
      </c>
      <c r="F23" s="175">
        <v>4.5</v>
      </c>
      <c r="G23" s="175">
        <v>0</v>
      </c>
      <c r="H23" s="175">
        <f>F23*AE23</f>
        <v>0</v>
      </c>
      <c r="I23" s="175">
        <f>F23*AF23</f>
        <v>0</v>
      </c>
      <c r="J23" s="175">
        <v>0</v>
      </c>
      <c r="K23" s="175">
        <v>0</v>
      </c>
      <c r="L23" s="175">
        <f>F23*K23</f>
        <v>0</v>
      </c>
      <c r="M23" s="176" t="s">
        <v>354</v>
      </c>
      <c r="V23" s="175">
        <f>IF(AG23="2",AX23,0)</f>
        <v>0</v>
      </c>
      <c r="W23" s="175">
        <f>IF(AG23="2",AY23,0)</f>
        <v>0</v>
      </c>
      <c r="X23" s="175">
        <f>IF(AG23="0",AZ23,0)</f>
        <v>0</v>
      </c>
      <c r="Y23" s="172"/>
      <c r="Z23" s="175">
        <f>IF(AD23=0,J23,0)</f>
        <v>0</v>
      </c>
      <c r="AA23" s="175">
        <f>IF(AD23=15,J23,0)</f>
        <v>0</v>
      </c>
      <c r="AB23" s="175">
        <f>IF(AD23=21,J23,0)</f>
        <v>0</v>
      </c>
      <c r="AD23" s="175">
        <v>21</v>
      </c>
      <c r="AE23" s="175">
        <f>G23*0</f>
        <v>0</v>
      </c>
      <c r="AF23" s="175">
        <f>G23*(1-0)</f>
        <v>0</v>
      </c>
      <c r="AG23" s="176" t="s">
        <v>141</v>
      </c>
      <c r="AL23" s="175">
        <f>AM23+AN23</f>
        <v>0</v>
      </c>
      <c r="AM23" s="175">
        <f>F23*AE23</f>
        <v>0</v>
      </c>
      <c r="AN23" s="175">
        <f>F23*AF23</f>
        <v>0</v>
      </c>
      <c r="AO23" s="176" t="s">
        <v>382</v>
      </c>
      <c r="AP23" s="176" t="s">
        <v>362</v>
      </c>
      <c r="AQ23" s="172" t="s">
        <v>355</v>
      </c>
      <c r="AS23" s="175">
        <f>AM23+AN23</f>
        <v>0</v>
      </c>
      <c r="AT23" s="175">
        <f>G23/(100-AU23)*100</f>
        <v>0</v>
      </c>
      <c r="AU23" s="175">
        <v>0</v>
      </c>
      <c r="AV23" s="175">
        <f>L23</f>
        <v>0</v>
      </c>
      <c r="AX23" s="175">
        <f>F23*AE23</f>
        <v>0</v>
      </c>
      <c r="AY23" s="175">
        <f>F23*AF23</f>
        <v>0</v>
      </c>
      <c r="AZ23" s="175">
        <f>F23*G23</f>
        <v>0</v>
      </c>
    </row>
    <row r="24" spans="1:39" ht="12">
      <c r="A24" s="177"/>
      <c r="B24" s="178"/>
      <c r="C24" s="178" t="s">
        <v>383</v>
      </c>
      <c r="D24" s="178" t="s">
        <v>384</v>
      </c>
      <c r="E24" s="177" t="s">
        <v>20</v>
      </c>
      <c r="F24" s="177" t="s">
        <v>20</v>
      </c>
      <c r="G24" s="177" t="s">
        <v>20</v>
      </c>
      <c r="H24" s="173">
        <f>SUM(H25:H51)</f>
        <v>0</v>
      </c>
      <c r="I24" s="173">
        <f>SUM(I25:I51)</f>
        <v>0</v>
      </c>
      <c r="J24" s="173">
        <f>SUM(J25:J51)</f>
        <v>0</v>
      </c>
      <c r="K24" s="172"/>
      <c r="L24" s="173">
        <f>SUM(L25:L51)</f>
        <v>0.22466000000000003</v>
      </c>
      <c r="M24" s="172"/>
      <c r="AA24" s="172"/>
      <c r="AK24" s="173">
        <f>SUM(AB25:AB51)</f>
        <v>0</v>
      </c>
      <c r="AL24" s="173">
        <f>SUM(AC25:AC51)</f>
        <v>0</v>
      </c>
      <c r="AM24" s="173">
        <f>SUM(AD25:AD51)</f>
        <v>0</v>
      </c>
    </row>
    <row r="25" spans="1:54" ht="12">
      <c r="A25" s="174" t="s">
        <v>177</v>
      </c>
      <c r="B25" s="174"/>
      <c r="C25" s="174" t="s">
        <v>385</v>
      </c>
      <c r="D25" s="174" t="s">
        <v>386</v>
      </c>
      <c r="E25" s="174" t="s">
        <v>144</v>
      </c>
      <c r="F25" s="175">
        <v>12</v>
      </c>
      <c r="G25" s="175">
        <v>0</v>
      </c>
      <c r="H25" s="175">
        <f aca="true" t="shared" si="0" ref="H25:H51">F25*AG25</f>
        <v>0</v>
      </c>
      <c r="I25" s="175">
        <f aca="true" t="shared" si="1" ref="I25:I51">F25*AH25</f>
        <v>0</v>
      </c>
      <c r="J25" s="175">
        <f aca="true" t="shared" si="2" ref="J25:J51">F25*G25</f>
        <v>0</v>
      </c>
      <c r="K25" s="175">
        <v>0.00013</v>
      </c>
      <c r="L25" s="175">
        <f aca="true" t="shared" si="3" ref="L25:L51">F25*K25</f>
        <v>0.0015599999999999998</v>
      </c>
      <c r="M25" s="176" t="s">
        <v>354</v>
      </c>
      <c r="V25" s="175">
        <f aca="true" t="shared" si="4" ref="V25:V51">IF(AI25="7",AZ25,0)</f>
        <v>0</v>
      </c>
      <c r="W25" s="175">
        <f aca="true" t="shared" si="5" ref="W25:W51">IF(AI25="7",BA25,0)</f>
        <v>0</v>
      </c>
      <c r="X25" s="175">
        <f aca="true" t="shared" si="6" ref="X25:X51">IF(AI25="2",AZ25,0)</f>
        <v>0</v>
      </c>
      <c r="Y25" s="175">
        <f aca="true" t="shared" si="7" ref="Y25:Y51">IF(AI25="2",BA25,0)</f>
        <v>0</v>
      </c>
      <c r="Z25" s="175">
        <f aca="true" t="shared" si="8" ref="Z25:Z51">IF(AI25="0",BB25,0)</f>
        <v>0</v>
      </c>
      <c r="AA25" s="172"/>
      <c r="AB25" s="175">
        <f aca="true" t="shared" si="9" ref="AB25:AB51">IF(AF25=0,J25,0)</f>
        <v>0</v>
      </c>
      <c r="AC25" s="175">
        <f aca="true" t="shared" si="10" ref="AC25:AC51">IF(AF25=15,J25,0)</f>
        <v>0</v>
      </c>
      <c r="AD25" s="175">
        <f aca="true" t="shared" si="11" ref="AD25:AD51">IF(AF25=21,J25,0)</f>
        <v>0</v>
      </c>
      <c r="AF25" s="175">
        <v>21</v>
      </c>
      <c r="AG25" s="175">
        <f>G25*0.403477485510477</f>
        <v>0</v>
      </c>
      <c r="AH25" s="175">
        <f>G25*(1-0.403477485510477)</f>
        <v>0</v>
      </c>
      <c r="AI25" s="176" t="s">
        <v>80</v>
      </c>
      <c r="AN25" s="175">
        <f aca="true" t="shared" si="12" ref="AN25:AN51">AO25+AP25</f>
        <v>0</v>
      </c>
      <c r="AO25" s="175">
        <f aca="true" t="shared" si="13" ref="AO25:AO51">F25*AG25</f>
        <v>0</v>
      </c>
      <c r="AP25" s="175">
        <f aca="true" t="shared" si="14" ref="AP25:AP51">F25*AH25</f>
        <v>0</v>
      </c>
      <c r="AQ25" s="176" t="s">
        <v>387</v>
      </c>
      <c r="AR25" s="176" t="s">
        <v>362</v>
      </c>
      <c r="AS25" s="172" t="s">
        <v>355</v>
      </c>
      <c r="AU25" s="175">
        <f aca="true" t="shared" si="15" ref="AU25:AU51">AO25+AP25</f>
        <v>0</v>
      </c>
      <c r="AV25" s="175">
        <f aca="true" t="shared" si="16" ref="AV25:AV51">G25/(100-AW25)*100</f>
        <v>0</v>
      </c>
      <c r="AW25" s="175">
        <v>0</v>
      </c>
      <c r="AX25" s="175">
        <f aca="true" t="shared" si="17" ref="AX25:AX51">L25</f>
        <v>0.0015599999999999998</v>
      </c>
      <c r="AZ25" s="175">
        <f aca="true" t="shared" si="18" ref="AZ25:AZ51">F25*AG25</f>
        <v>0</v>
      </c>
      <c r="BA25" s="175">
        <f aca="true" t="shared" si="19" ref="BA25:BA51">F25*AH25</f>
        <v>0</v>
      </c>
      <c r="BB25" s="175">
        <f aca="true" t="shared" si="20" ref="BB25:BB51">F25*G25</f>
        <v>0</v>
      </c>
    </row>
    <row r="26" spans="1:54" ht="12">
      <c r="A26" s="174" t="s">
        <v>8</v>
      </c>
      <c r="B26" s="174"/>
      <c r="C26" s="174" t="s">
        <v>388</v>
      </c>
      <c r="D26" s="174" t="s">
        <v>389</v>
      </c>
      <c r="E26" s="174" t="s">
        <v>268</v>
      </c>
      <c r="F26" s="175">
        <v>6</v>
      </c>
      <c r="G26" s="175">
        <v>0</v>
      </c>
      <c r="H26" s="175">
        <f t="shared" si="0"/>
        <v>0</v>
      </c>
      <c r="I26" s="175">
        <f t="shared" si="1"/>
        <v>0</v>
      </c>
      <c r="J26" s="175">
        <f t="shared" si="2"/>
        <v>0</v>
      </c>
      <c r="K26" s="175">
        <v>0</v>
      </c>
      <c r="L26" s="175">
        <f t="shared" si="3"/>
        <v>0</v>
      </c>
      <c r="M26" s="176" t="s">
        <v>354</v>
      </c>
      <c r="V26" s="175">
        <f t="shared" si="4"/>
        <v>0</v>
      </c>
      <c r="W26" s="175">
        <f t="shared" si="5"/>
        <v>0</v>
      </c>
      <c r="X26" s="175">
        <f t="shared" si="6"/>
        <v>0</v>
      </c>
      <c r="Y26" s="175">
        <f t="shared" si="7"/>
        <v>0</v>
      </c>
      <c r="Z26" s="175">
        <f t="shared" si="8"/>
        <v>0</v>
      </c>
      <c r="AA26" s="172"/>
      <c r="AB26" s="175">
        <f t="shared" si="9"/>
        <v>0</v>
      </c>
      <c r="AC26" s="175">
        <f t="shared" si="10"/>
        <v>0</v>
      </c>
      <c r="AD26" s="175">
        <f t="shared" si="11"/>
        <v>0</v>
      </c>
      <c r="AF26" s="175">
        <v>21</v>
      </c>
      <c r="AG26" s="175">
        <f>G26*0.557613908130011</f>
        <v>0</v>
      </c>
      <c r="AH26" s="175">
        <f>G26*(1-0.557613908130011)</f>
        <v>0</v>
      </c>
      <c r="AI26" s="176" t="s">
        <v>80</v>
      </c>
      <c r="AN26" s="175">
        <f t="shared" si="12"/>
        <v>0</v>
      </c>
      <c r="AO26" s="175">
        <f t="shared" si="13"/>
        <v>0</v>
      </c>
      <c r="AP26" s="175">
        <f t="shared" si="14"/>
        <v>0</v>
      </c>
      <c r="AQ26" s="176" t="s">
        <v>387</v>
      </c>
      <c r="AR26" s="176" t="s">
        <v>362</v>
      </c>
      <c r="AS26" s="172" t="s">
        <v>355</v>
      </c>
      <c r="AU26" s="175">
        <f t="shared" si="15"/>
        <v>0</v>
      </c>
      <c r="AV26" s="175">
        <f t="shared" si="16"/>
        <v>0</v>
      </c>
      <c r="AW26" s="175">
        <v>0</v>
      </c>
      <c r="AX26" s="175">
        <f t="shared" si="17"/>
        <v>0</v>
      </c>
      <c r="AZ26" s="175">
        <f t="shared" si="18"/>
        <v>0</v>
      </c>
      <c r="BA26" s="175">
        <f t="shared" si="19"/>
        <v>0</v>
      </c>
      <c r="BB26" s="175">
        <f t="shared" si="20"/>
        <v>0</v>
      </c>
    </row>
    <row r="27" spans="1:54" ht="12">
      <c r="A27" s="174" t="s">
        <v>187</v>
      </c>
      <c r="B27" s="174"/>
      <c r="C27" s="174" t="s">
        <v>390</v>
      </c>
      <c r="D27" s="174" t="s">
        <v>391</v>
      </c>
      <c r="E27" s="174" t="s">
        <v>144</v>
      </c>
      <c r="F27" s="175">
        <v>8</v>
      </c>
      <c r="G27" s="175">
        <v>0</v>
      </c>
      <c r="H27" s="175">
        <f t="shared" si="0"/>
        <v>0</v>
      </c>
      <c r="I27" s="175">
        <f t="shared" si="1"/>
        <v>0</v>
      </c>
      <c r="J27" s="175">
        <f t="shared" si="2"/>
        <v>0</v>
      </c>
      <c r="K27" s="175">
        <v>0</v>
      </c>
      <c r="L27" s="175">
        <f t="shared" si="3"/>
        <v>0</v>
      </c>
      <c r="M27" s="176" t="s">
        <v>354</v>
      </c>
      <c r="V27" s="175">
        <f t="shared" si="4"/>
        <v>0</v>
      </c>
      <c r="W27" s="175">
        <f t="shared" si="5"/>
        <v>0</v>
      </c>
      <c r="X27" s="175">
        <f t="shared" si="6"/>
        <v>0</v>
      </c>
      <c r="Y27" s="175">
        <f t="shared" si="7"/>
        <v>0</v>
      </c>
      <c r="Z27" s="175">
        <f t="shared" si="8"/>
        <v>0</v>
      </c>
      <c r="AA27" s="172"/>
      <c r="AB27" s="175">
        <f t="shared" si="9"/>
        <v>0</v>
      </c>
      <c r="AC27" s="175">
        <f t="shared" si="10"/>
        <v>0</v>
      </c>
      <c r="AD27" s="175">
        <f t="shared" si="11"/>
        <v>0</v>
      </c>
      <c r="AF27" s="175">
        <v>21</v>
      </c>
      <c r="AG27" s="175">
        <f>G27*0.601375</f>
        <v>0</v>
      </c>
      <c r="AH27" s="175">
        <f>G27*(1-0.601375)</f>
        <v>0</v>
      </c>
      <c r="AI27" s="176" t="s">
        <v>80</v>
      </c>
      <c r="AN27" s="175">
        <f t="shared" si="12"/>
        <v>0</v>
      </c>
      <c r="AO27" s="175">
        <f t="shared" si="13"/>
        <v>0</v>
      </c>
      <c r="AP27" s="175">
        <f t="shared" si="14"/>
        <v>0</v>
      </c>
      <c r="AQ27" s="176" t="s">
        <v>387</v>
      </c>
      <c r="AR27" s="176" t="s">
        <v>362</v>
      </c>
      <c r="AS27" s="172" t="s">
        <v>355</v>
      </c>
      <c r="AU27" s="175">
        <f t="shared" si="15"/>
        <v>0</v>
      </c>
      <c r="AV27" s="175">
        <f t="shared" si="16"/>
        <v>0</v>
      </c>
      <c r="AW27" s="175">
        <v>0</v>
      </c>
      <c r="AX27" s="175">
        <f t="shared" si="17"/>
        <v>0</v>
      </c>
      <c r="AZ27" s="175">
        <f t="shared" si="18"/>
        <v>0</v>
      </c>
      <c r="BA27" s="175">
        <f t="shared" si="19"/>
        <v>0</v>
      </c>
      <c r="BB27" s="175">
        <f t="shared" si="20"/>
        <v>0</v>
      </c>
    </row>
    <row r="28" spans="1:54" ht="12">
      <c r="A28" s="174" t="s">
        <v>191</v>
      </c>
      <c r="B28" s="174"/>
      <c r="C28" s="174" t="s">
        <v>392</v>
      </c>
      <c r="D28" s="174" t="s">
        <v>393</v>
      </c>
      <c r="E28" s="174" t="s">
        <v>268</v>
      </c>
      <c r="F28" s="175">
        <v>30</v>
      </c>
      <c r="G28" s="175">
        <v>0</v>
      </c>
      <c r="H28" s="175">
        <f t="shared" si="0"/>
        <v>0</v>
      </c>
      <c r="I28" s="175">
        <f t="shared" si="1"/>
        <v>0</v>
      </c>
      <c r="J28" s="175">
        <f t="shared" si="2"/>
        <v>0</v>
      </c>
      <c r="K28" s="175">
        <v>0</v>
      </c>
      <c r="L28" s="175">
        <f t="shared" si="3"/>
        <v>0</v>
      </c>
      <c r="M28" s="176" t="s">
        <v>354</v>
      </c>
      <c r="V28" s="175">
        <f t="shared" si="4"/>
        <v>0</v>
      </c>
      <c r="W28" s="175">
        <f t="shared" si="5"/>
        <v>0</v>
      </c>
      <c r="X28" s="175">
        <f t="shared" si="6"/>
        <v>0</v>
      </c>
      <c r="Y28" s="175">
        <f t="shared" si="7"/>
        <v>0</v>
      </c>
      <c r="Z28" s="175">
        <f t="shared" si="8"/>
        <v>0</v>
      </c>
      <c r="AA28" s="172"/>
      <c r="AB28" s="175">
        <f t="shared" si="9"/>
        <v>0</v>
      </c>
      <c r="AC28" s="175">
        <f t="shared" si="10"/>
        <v>0</v>
      </c>
      <c r="AD28" s="175">
        <f t="shared" si="11"/>
        <v>0</v>
      </c>
      <c r="AF28" s="175">
        <v>21</v>
      </c>
      <c r="AG28" s="175">
        <f>G28*0</f>
        <v>0</v>
      </c>
      <c r="AH28" s="175">
        <f>G28*(1-0)</f>
        <v>0</v>
      </c>
      <c r="AI28" s="176" t="s">
        <v>80</v>
      </c>
      <c r="AN28" s="175">
        <f t="shared" si="12"/>
        <v>0</v>
      </c>
      <c r="AO28" s="175">
        <f t="shared" si="13"/>
        <v>0</v>
      </c>
      <c r="AP28" s="175">
        <f t="shared" si="14"/>
        <v>0</v>
      </c>
      <c r="AQ28" s="176" t="s">
        <v>387</v>
      </c>
      <c r="AR28" s="176" t="s">
        <v>362</v>
      </c>
      <c r="AS28" s="172" t="s">
        <v>355</v>
      </c>
      <c r="AU28" s="175">
        <f t="shared" si="15"/>
        <v>0</v>
      </c>
      <c r="AV28" s="175">
        <f t="shared" si="16"/>
        <v>0</v>
      </c>
      <c r="AW28" s="175">
        <v>0</v>
      </c>
      <c r="AX28" s="175">
        <f t="shared" si="17"/>
        <v>0</v>
      </c>
      <c r="AZ28" s="175">
        <f t="shared" si="18"/>
        <v>0</v>
      </c>
      <c r="BA28" s="175">
        <f t="shared" si="19"/>
        <v>0</v>
      </c>
      <c r="BB28" s="175">
        <f t="shared" si="20"/>
        <v>0</v>
      </c>
    </row>
    <row r="29" spans="1:54" ht="12">
      <c r="A29" s="174" t="s">
        <v>195</v>
      </c>
      <c r="B29" s="174"/>
      <c r="C29" s="174" t="s">
        <v>394</v>
      </c>
      <c r="D29" s="174" t="s">
        <v>395</v>
      </c>
      <c r="E29" s="174" t="s">
        <v>268</v>
      </c>
      <c r="F29" s="175">
        <v>68</v>
      </c>
      <c r="G29" s="175">
        <v>0</v>
      </c>
      <c r="H29" s="175">
        <f t="shared" si="0"/>
        <v>0</v>
      </c>
      <c r="I29" s="175">
        <f t="shared" si="1"/>
        <v>0</v>
      </c>
      <c r="J29" s="175">
        <f t="shared" si="2"/>
        <v>0</v>
      </c>
      <c r="K29" s="175">
        <v>0</v>
      </c>
      <c r="L29" s="175">
        <f t="shared" si="3"/>
        <v>0</v>
      </c>
      <c r="M29" s="176" t="s">
        <v>354</v>
      </c>
      <c r="V29" s="175">
        <f t="shared" si="4"/>
        <v>0</v>
      </c>
      <c r="W29" s="175">
        <f t="shared" si="5"/>
        <v>0</v>
      </c>
      <c r="X29" s="175">
        <f t="shared" si="6"/>
        <v>0</v>
      </c>
      <c r="Y29" s="175">
        <f t="shared" si="7"/>
        <v>0</v>
      </c>
      <c r="Z29" s="175">
        <f t="shared" si="8"/>
        <v>0</v>
      </c>
      <c r="AA29" s="172"/>
      <c r="AB29" s="175">
        <f t="shared" si="9"/>
        <v>0</v>
      </c>
      <c r="AC29" s="175">
        <f t="shared" si="10"/>
        <v>0</v>
      </c>
      <c r="AD29" s="175">
        <f t="shared" si="11"/>
        <v>0</v>
      </c>
      <c r="AF29" s="175">
        <v>21</v>
      </c>
      <c r="AG29" s="175">
        <f>G29*0</f>
        <v>0</v>
      </c>
      <c r="AH29" s="175">
        <f>G29*(1-0)</f>
        <v>0</v>
      </c>
      <c r="AI29" s="176" t="s">
        <v>80</v>
      </c>
      <c r="AN29" s="175">
        <f t="shared" si="12"/>
        <v>0</v>
      </c>
      <c r="AO29" s="175">
        <f t="shared" si="13"/>
        <v>0</v>
      </c>
      <c r="AP29" s="175">
        <f t="shared" si="14"/>
        <v>0</v>
      </c>
      <c r="AQ29" s="176" t="s">
        <v>387</v>
      </c>
      <c r="AR29" s="176" t="s">
        <v>362</v>
      </c>
      <c r="AS29" s="172" t="s">
        <v>355</v>
      </c>
      <c r="AU29" s="175">
        <f t="shared" si="15"/>
        <v>0</v>
      </c>
      <c r="AV29" s="175">
        <f t="shared" si="16"/>
        <v>0</v>
      </c>
      <c r="AW29" s="175">
        <v>0</v>
      </c>
      <c r="AX29" s="175">
        <f t="shared" si="17"/>
        <v>0</v>
      </c>
      <c r="AZ29" s="175">
        <f t="shared" si="18"/>
        <v>0</v>
      </c>
      <c r="BA29" s="175">
        <f t="shared" si="19"/>
        <v>0</v>
      </c>
      <c r="BB29" s="175">
        <f t="shared" si="20"/>
        <v>0</v>
      </c>
    </row>
    <row r="30" spans="1:54" ht="12">
      <c r="A30" s="174" t="s">
        <v>13</v>
      </c>
      <c r="B30" s="174"/>
      <c r="C30" s="174" t="s">
        <v>396</v>
      </c>
      <c r="D30" s="174" t="s">
        <v>397</v>
      </c>
      <c r="E30" s="174" t="s">
        <v>268</v>
      </c>
      <c r="F30" s="175">
        <v>52</v>
      </c>
      <c r="G30" s="175">
        <v>0</v>
      </c>
      <c r="H30" s="175">
        <f t="shared" si="0"/>
        <v>0</v>
      </c>
      <c r="I30" s="175">
        <f t="shared" si="1"/>
        <v>0</v>
      </c>
      <c r="J30" s="175">
        <f t="shared" si="2"/>
        <v>0</v>
      </c>
      <c r="K30" s="175">
        <v>0</v>
      </c>
      <c r="L30" s="175">
        <f t="shared" si="3"/>
        <v>0</v>
      </c>
      <c r="M30" s="176" t="s">
        <v>354</v>
      </c>
      <c r="V30" s="175">
        <f t="shared" si="4"/>
        <v>0</v>
      </c>
      <c r="W30" s="175">
        <f t="shared" si="5"/>
        <v>0</v>
      </c>
      <c r="X30" s="175">
        <f t="shared" si="6"/>
        <v>0</v>
      </c>
      <c r="Y30" s="175">
        <f t="shared" si="7"/>
        <v>0</v>
      </c>
      <c r="Z30" s="175">
        <f t="shared" si="8"/>
        <v>0</v>
      </c>
      <c r="AA30" s="172"/>
      <c r="AB30" s="175">
        <f t="shared" si="9"/>
        <v>0</v>
      </c>
      <c r="AC30" s="175">
        <f t="shared" si="10"/>
        <v>0</v>
      </c>
      <c r="AD30" s="175">
        <f t="shared" si="11"/>
        <v>0</v>
      </c>
      <c r="AF30" s="175">
        <v>21</v>
      </c>
      <c r="AG30" s="175">
        <f>G30*0</f>
        <v>0</v>
      </c>
      <c r="AH30" s="175">
        <f>G30*(1-0)</f>
        <v>0</v>
      </c>
      <c r="AI30" s="176" t="s">
        <v>80</v>
      </c>
      <c r="AN30" s="175">
        <f t="shared" si="12"/>
        <v>0</v>
      </c>
      <c r="AO30" s="175">
        <f t="shared" si="13"/>
        <v>0</v>
      </c>
      <c r="AP30" s="175">
        <f t="shared" si="14"/>
        <v>0</v>
      </c>
      <c r="AQ30" s="176" t="s">
        <v>387</v>
      </c>
      <c r="AR30" s="176" t="s">
        <v>362</v>
      </c>
      <c r="AS30" s="172" t="s">
        <v>355</v>
      </c>
      <c r="AU30" s="175">
        <f t="shared" si="15"/>
        <v>0</v>
      </c>
      <c r="AV30" s="175">
        <f t="shared" si="16"/>
        <v>0</v>
      </c>
      <c r="AW30" s="175">
        <v>0</v>
      </c>
      <c r="AX30" s="175">
        <f t="shared" si="17"/>
        <v>0</v>
      </c>
      <c r="AZ30" s="175">
        <f t="shared" si="18"/>
        <v>0</v>
      </c>
      <c r="BA30" s="175">
        <f t="shared" si="19"/>
        <v>0</v>
      </c>
      <c r="BB30" s="175">
        <f t="shared" si="20"/>
        <v>0</v>
      </c>
    </row>
    <row r="31" spans="1:54" ht="12">
      <c r="A31" s="174" t="s">
        <v>204</v>
      </c>
      <c r="B31" s="174"/>
      <c r="C31" s="174" t="s">
        <v>398</v>
      </c>
      <c r="D31" s="174" t="s">
        <v>399</v>
      </c>
      <c r="E31" s="174" t="s">
        <v>268</v>
      </c>
      <c r="F31" s="175">
        <v>16</v>
      </c>
      <c r="G31" s="175">
        <v>0</v>
      </c>
      <c r="H31" s="175">
        <f t="shared" si="0"/>
        <v>0</v>
      </c>
      <c r="I31" s="175">
        <f t="shared" si="1"/>
        <v>0</v>
      </c>
      <c r="J31" s="175">
        <f t="shared" si="2"/>
        <v>0</v>
      </c>
      <c r="K31" s="175">
        <v>0</v>
      </c>
      <c r="L31" s="175">
        <f t="shared" si="3"/>
        <v>0</v>
      </c>
      <c r="M31" s="176" t="s">
        <v>354</v>
      </c>
      <c r="V31" s="175">
        <f t="shared" si="4"/>
        <v>0</v>
      </c>
      <c r="W31" s="175">
        <f t="shared" si="5"/>
        <v>0</v>
      </c>
      <c r="X31" s="175">
        <f t="shared" si="6"/>
        <v>0</v>
      </c>
      <c r="Y31" s="175">
        <f t="shared" si="7"/>
        <v>0</v>
      </c>
      <c r="Z31" s="175">
        <f t="shared" si="8"/>
        <v>0</v>
      </c>
      <c r="AA31" s="172"/>
      <c r="AB31" s="175">
        <f t="shared" si="9"/>
        <v>0</v>
      </c>
      <c r="AC31" s="175">
        <f t="shared" si="10"/>
        <v>0</v>
      </c>
      <c r="AD31" s="175">
        <f t="shared" si="11"/>
        <v>0</v>
      </c>
      <c r="AF31" s="175">
        <v>21</v>
      </c>
      <c r="AG31" s="175">
        <f>G31*0</f>
        <v>0</v>
      </c>
      <c r="AH31" s="175">
        <f>G31*(1-0)</f>
        <v>0</v>
      </c>
      <c r="AI31" s="176" t="s">
        <v>80</v>
      </c>
      <c r="AN31" s="175">
        <f t="shared" si="12"/>
        <v>0</v>
      </c>
      <c r="AO31" s="175">
        <f t="shared" si="13"/>
        <v>0</v>
      </c>
      <c r="AP31" s="175">
        <f t="shared" si="14"/>
        <v>0</v>
      </c>
      <c r="AQ31" s="176" t="s">
        <v>387</v>
      </c>
      <c r="AR31" s="176" t="s">
        <v>362</v>
      </c>
      <c r="AS31" s="172" t="s">
        <v>355</v>
      </c>
      <c r="AU31" s="175">
        <f t="shared" si="15"/>
        <v>0</v>
      </c>
      <c r="AV31" s="175">
        <f t="shared" si="16"/>
        <v>0</v>
      </c>
      <c r="AW31" s="175">
        <v>0</v>
      </c>
      <c r="AX31" s="175">
        <f t="shared" si="17"/>
        <v>0</v>
      </c>
      <c r="AZ31" s="175">
        <f t="shared" si="18"/>
        <v>0</v>
      </c>
      <c r="BA31" s="175">
        <f t="shared" si="19"/>
        <v>0</v>
      </c>
      <c r="BB31" s="175">
        <f t="shared" si="20"/>
        <v>0</v>
      </c>
    </row>
    <row r="32" spans="1:54" ht="12">
      <c r="A32" s="174" t="s">
        <v>7</v>
      </c>
      <c r="B32" s="174"/>
      <c r="C32" s="174" t="s">
        <v>400</v>
      </c>
      <c r="D32" s="174" t="s">
        <v>401</v>
      </c>
      <c r="E32" s="174" t="s">
        <v>268</v>
      </c>
      <c r="F32" s="175">
        <v>145</v>
      </c>
      <c r="G32" s="175">
        <v>0</v>
      </c>
      <c r="H32" s="175">
        <f t="shared" si="0"/>
        <v>0</v>
      </c>
      <c r="I32" s="175">
        <f t="shared" si="1"/>
        <v>0</v>
      </c>
      <c r="J32" s="175">
        <f t="shared" si="2"/>
        <v>0</v>
      </c>
      <c r="K32" s="175">
        <v>0</v>
      </c>
      <c r="L32" s="175">
        <f t="shared" si="3"/>
        <v>0</v>
      </c>
      <c r="M32" s="176" t="s">
        <v>354</v>
      </c>
      <c r="V32" s="175">
        <f t="shared" si="4"/>
        <v>0</v>
      </c>
      <c r="W32" s="175">
        <f t="shared" si="5"/>
        <v>0</v>
      </c>
      <c r="X32" s="175">
        <f t="shared" si="6"/>
        <v>0</v>
      </c>
      <c r="Y32" s="175">
        <f t="shared" si="7"/>
        <v>0</v>
      </c>
      <c r="Z32" s="175">
        <f t="shared" si="8"/>
        <v>0</v>
      </c>
      <c r="AA32" s="172"/>
      <c r="AB32" s="175">
        <f t="shared" si="9"/>
        <v>0</v>
      </c>
      <c r="AC32" s="175">
        <f t="shared" si="10"/>
        <v>0</v>
      </c>
      <c r="AD32" s="175">
        <f t="shared" si="11"/>
        <v>0</v>
      </c>
      <c r="AF32" s="175">
        <v>21</v>
      </c>
      <c r="AG32" s="175">
        <f>G32*0.0539393939393939</f>
        <v>0</v>
      </c>
      <c r="AH32" s="175">
        <f>G32*(1-0.0539393939393939)</f>
        <v>0</v>
      </c>
      <c r="AI32" s="176" t="s">
        <v>18</v>
      </c>
      <c r="AN32" s="175">
        <f t="shared" si="12"/>
        <v>0</v>
      </c>
      <c r="AO32" s="175">
        <f t="shared" si="13"/>
        <v>0</v>
      </c>
      <c r="AP32" s="175">
        <f t="shared" si="14"/>
        <v>0</v>
      </c>
      <c r="AQ32" s="176" t="s">
        <v>387</v>
      </c>
      <c r="AR32" s="176" t="s">
        <v>362</v>
      </c>
      <c r="AS32" s="172" t="s">
        <v>355</v>
      </c>
      <c r="AU32" s="175">
        <f t="shared" si="15"/>
        <v>0</v>
      </c>
      <c r="AV32" s="175">
        <f t="shared" si="16"/>
        <v>0</v>
      </c>
      <c r="AW32" s="175">
        <v>0</v>
      </c>
      <c r="AX32" s="175">
        <f t="shared" si="17"/>
        <v>0</v>
      </c>
      <c r="AZ32" s="175">
        <f t="shared" si="18"/>
        <v>0</v>
      </c>
      <c r="BA32" s="175">
        <f t="shared" si="19"/>
        <v>0</v>
      </c>
      <c r="BB32" s="175">
        <f t="shared" si="20"/>
        <v>0</v>
      </c>
    </row>
    <row r="33" spans="1:54" ht="12">
      <c r="A33" s="174" t="s">
        <v>217</v>
      </c>
      <c r="B33" s="174"/>
      <c r="C33" s="174" t="s">
        <v>402</v>
      </c>
      <c r="D33" s="174" t="s">
        <v>403</v>
      </c>
      <c r="E33" s="174" t="s">
        <v>268</v>
      </c>
      <c r="F33" s="175">
        <v>39</v>
      </c>
      <c r="G33" s="175">
        <v>0</v>
      </c>
      <c r="H33" s="175">
        <f t="shared" si="0"/>
        <v>0</v>
      </c>
      <c r="I33" s="175">
        <f t="shared" si="1"/>
        <v>0</v>
      </c>
      <c r="J33" s="175">
        <f t="shared" si="2"/>
        <v>0</v>
      </c>
      <c r="K33" s="175">
        <v>2E-05</v>
      </c>
      <c r="L33" s="175">
        <f t="shared" si="3"/>
        <v>0.0007800000000000001</v>
      </c>
      <c r="M33" s="176" t="s">
        <v>354</v>
      </c>
      <c r="V33" s="175">
        <f t="shared" si="4"/>
        <v>0</v>
      </c>
      <c r="W33" s="175">
        <f t="shared" si="5"/>
        <v>0</v>
      </c>
      <c r="X33" s="175">
        <f t="shared" si="6"/>
        <v>0</v>
      </c>
      <c r="Y33" s="175">
        <f t="shared" si="7"/>
        <v>0</v>
      </c>
      <c r="Z33" s="175">
        <f t="shared" si="8"/>
        <v>0</v>
      </c>
      <c r="AA33" s="172"/>
      <c r="AB33" s="175">
        <f t="shared" si="9"/>
        <v>0</v>
      </c>
      <c r="AC33" s="175">
        <f t="shared" si="10"/>
        <v>0</v>
      </c>
      <c r="AD33" s="175">
        <f t="shared" si="11"/>
        <v>0</v>
      </c>
      <c r="AF33" s="175">
        <v>21</v>
      </c>
      <c r="AG33" s="175">
        <f>G33*0.0812</f>
        <v>0</v>
      </c>
      <c r="AH33" s="175">
        <f>G33*(1-0.0812)</f>
        <v>0</v>
      </c>
      <c r="AI33" s="176" t="s">
        <v>80</v>
      </c>
      <c r="AN33" s="175">
        <f t="shared" si="12"/>
        <v>0</v>
      </c>
      <c r="AO33" s="175">
        <f t="shared" si="13"/>
        <v>0</v>
      </c>
      <c r="AP33" s="175">
        <f t="shared" si="14"/>
        <v>0</v>
      </c>
      <c r="AQ33" s="176" t="s">
        <v>387</v>
      </c>
      <c r="AR33" s="176" t="s">
        <v>362</v>
      </c>
      <c r="AS33" s="172" t="s">
        <v>355</v>
      </c>
      <c r="AU33" s="175">
        <f t="shared" si="15"/>
        <v>0</v>
      </c>
      <c r="AV33" s="175">
        <f t="shared" si="16"/>
        <v>0</v>
      </c>
      <c r="AW33" s="175">
        <v>0</v>
      </c>
      <c r="AX33" s="175">
        <f t="shared" si="17"/>
        <v>0.0007800000000000001</v>
      </c>
      <c r="AZ33" s="175">
        <f t="shared" si="18"/>
        <v>0</v>
      </c>
      <c r="BA33" s="175">
        <f t="shared" si="19"/>
        <v>0</v>
      </c>
      <c r="BB33" s="175">
        <f t="shared" si="20"/>
        <v>0</v>
      </c>
    </row>
    <row r="34" spans="1:54" ht="12">
      <c r="A34" s="174" t="s">
        <v>223</v>
      </c>
      <c r="B34" s="174"/>
      <c r="C34" s="174" t="s">
        <v>404</v>
      </c>
      <c r="D34" s="174" t="s">
        <v>405</v>
      </c>
      <c r="E34" s="174" t="s">
        <v>268</v>
      </c>
      <c r="F34" s="175">
        <v>6</v>
      </c>
      <c r="G34" s="175">
        <v>0</v>
      </c>
      <c r="H34" s="175">
        <f t="shared" si="0"/>
        <v>0</v>
      </c>
      <c r="I34" s="175">
        <f t="shared" si="1"/>
        <v>0</v>
      </c>
      <c r="J34" s="175">
        <f t="shared" si="2"/>
        <v>0</v>
      </c>
      <c r="K34" s="175">
        <v>9E-05</v>
      </c>
      <c r="L34" s="175">
        <f t="shared" si="3"/>
        <v>0.00054</v>
      </c>
      <c r="M34" s="176" t="s">
        <v>354</v>
      </c>
      <c r="V34" s="175">
        <f t="shared" si="4"/>
        <v>0</v>
      </c>
      <c r="W34" s="175">
        <f t="shared" si="5"/>
        <v>0</v>
      </c>
      <c r="X34" s="175">
        <f t="shared" si="6"/>
        <v>0</v>
      </c>
      <c r="Y34" s="175">
        <f t="shared" si="7"/>
        <v>0</v>
      </c>
      <c r="Z34" s="175">
        <f t="shared" si="8"/>
        <v>0</v>
      </c>
      <c r="AA34" s="172"/>
      <c r="AB34" s="175">
        <f t="shared" si="9"/>
        <v>0</v>
      </c>
      <c r="AC34" s="175">
        <f t="shared" si="10"/>
        <v>0</v>
      </c>
      <c r="AD34" s="175">
        <f t="shared" si="11"/>
        <v>0</v>
      </c>
      <c r="AF34" s="175">
        <v>21</v>
      </c>
      <c r="AG34" s="175">
        <f>G34*0.214086956521739</f>
        <v>0</v>
      </c>
      <c r="AH34" s="175">
        <f>G34*(1-0.214086956521739)</f>
        <v>0</v>
      </c>
      <c r="AI34" s="176" t="s">
        <v>80</v>
      </c>
      <c r="AN34" s="175">
        <f t="shared" si="12"/>
        <v>0</v>
      </c>
      <c r="AO34" s="175">
        <f t="shared" si="13"/>
        <v>0</v>
      </c>
      <c r="AP34" s="175">
        <f t="shared" si="14"/>
        <v>0</v>
      </c>
      <c r="AQ34" s="176" t="s">
        <v>387</v>
      </c>
      <c r="AR34" s="176" t="s">
        <v>362</v>
      </c>
      <c r="AS34" s="172" t="s">
        <v>355</v>
      </c>
      <c r="AU34" s="175">
        <f t="shared" si="15"/>
        <v>0</v>
      </c>
      <c r="AV34" s="175">
        <f t="shared" si="16"/>
        <v>0</v>
      </c>
      <c r="AW34" s="175">
        <v>0</v>
      </c>
      <c r="AX34" s="175">
        <f t="shared" si="17"/>
        <v>0.00054</v>
      </c>
      <c r="AZ34" s="175">
        <f t="shared" si="18"/>
        <v>0</v>
      </c>
      <c r="BA34" s="175">
        <f t="shared" si="19"/>
        <v>0</v>
      </c>
      <c r="BB34" s="175">
        <f t="shared" si="20"/>
        <v>0</v>
      </c>
    </row>
    <row r="35" spans="1:54" ht="12">
      <c r="A35" s="174" t="s">
        <v>227</v>
      </c>
      <c r="B35" s="174"/>
      <c r="C35" s="174" t="s">
        <v>406</v>
      </c>
      <c r="D35" s="174" t="s">
        <v>407</v>
      </c>
      <c r="E35" s="174" t="s">
        <v>268</v>
      </c>
      <c r="F35" s="175">
        <v>16</v>
      </c>
      <c r="G35" s="175">
        <v>0</v>
      </c>
      <c r="H35" s="175">
        <f t="shared" si="0"/>
        <v>0</v>
      </c>
      <c r="I35" s="175">
        <f t="shared" si="1"/>
        <v>0</v>
      </c>
      <c r="J35" s="175">
        <f t="shared" si="2"/>
        <v>0</v>
      </c>
      <c r="K35" s="175">
        <v>0</v>
      </c>
      <c r="L35" s="175">
        <f t="shared" si="3"/>
        <v>0</v>
      </c>
      <c r="M35" s="176" t="s">
        <v>354</v>
      </c>
      <c r="V35" s="175">
        <f t="shared" si="4"/>
        <v>0</v>
      </c>
      <c r="W35" s="175">
        <f t="shared" si="5"/>
        <v>0</v>
      </c>
      <c r="X35" s="175">
        <f t="shared" si="6"/>
        <v>0</v>
      </c>
      <c r="Y35" s="175">
        <f t="shared" si="7"/>
        <v>0</v>
      </c>
      <c r="Z35" s="175">
        <f t="shared" si="8"/>
        <v>0</v>
      </c>
      <c r="AA35" s="172"/>
      <c r="AB35" s="175">
        <f t="shared" si="9"/>
        <v>0</v>
      </c>
      <c r="AC35" s="175">
        <f t="shared" si="10"/>
        <v>0</v>
      </c>
      <c r="AD35" s="175">
        <f t="shared" si="11"/>
        <v>0</v>
      </c>
      <c r="AF35" s="175">
        <v>21</v>
      </c>
      <c r="AG35" s="175">
        <f>G35*0</f>
        <v>0</v>
      </c>
      <c r="AH35" s="175">
        <f>G35*(1-0)</f>
        <v>0</v>
      </c>
      <c r="AI35" s="176" t="s">
        <v>80</v>
      </c>
      <c r="AN35" s="175">
        <f t="shared" si="12"/>
        <v>0</v>
      </c>
      <c r="AO35" s="175">
        <f t="shared" si="13"/>
        <v>0</v>
      </c>
      <c r="AP35" s="175">
        <f t="shared" si="14"/>
        <v>0</v>
      </c>
      <c r="AQ35" s="176" t="s">
        <v>387</v>
      </c>
      <c r="AR35" s="176" t="s">
        <v>362</v>
      </c>
      <c r="AS35" s="172" t="s">
        <v>355</v>
      </c>
      <c r="AU35" s="175">
        <f t="shared" si="15"/>
        <v>0</v>
      </c>
      <c r="AV35" s="175">
        <f t="shared" si="16"/>
        <v>0</v>
      </c>
      <c r="AW35" s="175">
        <v>0</v>
      </c>
      <c r="AX35" s="175">
        <f t="shared" si="17"/>
        <v>0</v>
      </c>
      <c r="AZ35" s="175">
        <f t="shared" si="18"/>
        <v>0</v>
      </c>
      <c r="BA35" s="175">
        <f t="shared" si="19"/>
        <v>0</v>
      </c>
      <c r="BB35" s="175">
        <f t="shared" si="20"/>
        <v>0</v>
      </c>
    </row>
    <row r="36" spans="1:54" ht="12">
      <c r="A36" s="174" t="s">
        <v>231</v>
      </c>
      <c r="B36" s="174"/>
      <c r="C36" s="174" t="s">
        <v>408</v>
      </c>
      <c r="D36" s="174" t="s">
        <v>409</v>
      </c>
      <c r="E36" s="174" t="s">
        <v>268</v>
      </c>
      <c r="F36" s="175">
        <v>2</v>
      </c>
      <c r="G36" s="175">
        <v>0</v>
      </c>
      <c r="H36" s="175">
        <f t="shared" si="0"/>
        <v>0</v>
      </c>
      <c r="I36" s="175">
        <f t="shared" si="1"/>
        <v>0</v>
      </c>
      <c r="J36" s="175">
        <f t="shared" si="2"/>
        <v>0</v>
      </c>
      <c r="K36" s="175">
        <v>0</v>
      </c>
      <c r="L36" s="175">
        <f t="shared" si="3"/>
        <v>0</v>
      </c>
      <c r="M36" s="176" t="s">
        <v>354</v>
      </c>
      <c r="V36" s="175">
        <f t="shared" si="4"/>
        <v>0</v>
      </c>
      <c r="W36" s="175">
        <f t="shared" si="5"/>
        <v>0</v>
      </c>
      <c r="X36" s="175">
        <f t="shared" si="6"/>
        <v>0</v>
      </c>
      <c r="Y36" s="175">
        <f t="shared" si="7"/>
        <v>0</v>
      </c>
      <c r="Z36" s="175">
        <f t="shared" si="8"/>
        <v>0</v>
      </c>
      <c r="AA36" s="172"/>
      <c r="AB36" s="175">
        <f t="shared" si="9"/>
        <v>0</v>
      </c>
      <c r="AC36" s="175">
        <f t="shared" si="10"/>
        <v>0</v>
      </c>
      <c r="AD36" s="175">
        <f t="shared" si="11"/>
        <v>0</v>
      </c>
      <c r="AF36" s="175">
        <v>21</v>
      </c>
      <c r="AG36" s="175">
        <f>G36*0.87696335078534</f>
        <v>0</v>
      </c>
      <c r="AH36" s="175">
        <f>G36*(1-0.87696335078534)</f>
        <v>0</v>
      </c>
      <c r="AI36" s="176" t="s">
        <v>80</v>
      </c>
      <c r="AN36" s="175">
        <f t="shared" si="12"/>
        <v>0</v>
      </c>
      <c r="AO36" s="175">
        <f t="shared" si="13"/>
        <v>0</v>
      </c>
      <c r="AP36" s="175">
        <f t="shared" si="14"/>
        <v>0</v>
      </c>
      <c r="AQ36" s="176" t="s">
        <v>387</v>
      </c>
      <c r="AR36" s="176" t="s">
        <v>362</v>
      </c>
      <c r="AS36" s="172" t="s">
        <v>355</v>
      </c>
      <c r="AU36" s="175">
        <f t="shared" si="15"/>
        <v>0</v>
      </c>
      <c r="AV36" s="175">
        <f t="shared" si="16"/>
        <v>0</v>
      </c>
      <c r="AW36" s="175">
        <v>0</v>
      </c>
      <c r="AX36" s="175">
        <f t="shared" si="17"/>
        <v>0</v>
      </c>
      <c r="AZ36" s="175">
        <f t="shared" si="18"/>
        <v>0</v>
      </c>
      <c r="BA36" s="175">
        <f t="shared" si="19"/>
        <v>0</v>
      </c>
      <c r="BB36" s="175">
        <f t="shared" si="20"/>
        <v>0</v>
      </c>
    </row>
    <row r="37" spans="1:54" ht="12">
      <c r="A37" s="174" t="s">
        <v>235</v>
      </c>
      <c r="B37" s="174"/>
      <c r="C37" s="174" t="s">
        <v>410</v>
      </c>
      <c r="D37" s="174" t="s">
        <v>411</v>
      </c>
      <c r="E37" s="174" t="s">
        <v>268</v>
      </c>
      <c r="F37" s="175">
        <v>5</v>
      </c>
      <c r="G37" s="175">
        <v>0</v>
      </c>
      <c r="H37" s="175">
        <f t="shared" si="0"/>
        <v>0</v>
      </c>
      <c r="I37" s="175">
        <f t="shared" si="1"/>
        <v>0</v>
      </c>
      <c r="J37" s="175">
        <f t="shared" si="2"/>
        <v>0</v>
      </c>
      <c r="K37" s="175">
        <v>4E-05</v>
      </c>
      <c r="L37" s="175">
        <f t="shared" si="3"/>
        <v>0.0002</v>
      </c>
      <c r="M37" s="176" t="s">
        <v>354</v>
      </c>
      <c r="V37" s="175">
        <f t="shared" si="4"/>
        <v>0</v>
      </c>
      <c r="W37" s="175">
        <f t="shared" si="5"/>
        <v>0</v>
      </c>
      <c r="X37" s="175">
        <f t="shared" si="6"/>
        <v>0</v>
      </c>
      <c r="Y37" s="175">
        <f t="shared" si="7"/>
        <v>0</v>
      </c>
      <c r="Z37" s="175">
        <f t="shared" si="8"/>
        <v>0</v>
      </c>
      <c r="AA37" s="172"/>
      <c r="AB37" s="175">
        <f t="shared" si="9"/>
        <v>0</v>
      </c>
      <c r="AC37" s="175">
        <f t="shared" si="10"/>
        <v>0</v>
      </c>
      <c r="AD37" s="175">
        <f t="shared" si="11"/>
        <v>0</v>
      </c>
      <c r="AF37" s="175">
        <v>21</v>
      </c>
      <c r="AG37" s="175">
        <f>G37*0.440194931773879</f>
        <v>0</v>
      </c>
      <c r="AH37" s="175">
        <f>G37*(1-0.440194931773879)</f>
        <v>0</v>
      </c>
      <c r="AI37" s="176" t="s">
        <v>80</v>
      </c>
      <c r="AN37" s="175">
        <f t="shared" si="12"/>
        <v>0</v>
      </c>
      <c r="AO37" s="175">
        <f t="shared" si="13"/>
        <v>0</v>
      </c>
      <c r="AP37" s="175">
        <f t="shared" si="14"/>
        <v>0</v>
      </c>
      <c r="AQ37" s="176" t="s">
        <v>387</v>
      </c>
      <c r="AR37" s="176" t="s">
        <v>362</v>
      </c>
      <c r="AS37" s="172" t="s">
        <v>355</v>
      </c>
      <c r="AU37" s="175">
        <f t="shared" si="15"/>
        <v>0</v>
      </c>
      <c r="AV37" s="175">
        <f t="shared" si="16"/>
        <v>0</v>
      </c>
      <c r="AW37" s="175">
        <v>0</v>
      </c>
      <c r="AX37" s="175">
        <f t="shared" si="17"/>
        <v>0.0002</v>
      </c>
      <c r="AZ37" s="175">
        <f t="shared" si="18"/>
        <v>0</v>
      </c>
      <c r="BA37" s="175">
        <f t="shared" si="19"/>
        <v>0</v>
      </c>
      <c r="BB37" s="175">
        <f t="shared" si="20"/>
        <v>0</v>
      </c>
    </row>
    <row r="38" spans="1:54" ht="12">
      <c r="A38" s="174" t="s">
        <v>241</v>
      </c>
      <c r="B38" s="174"/>
      <c r="C38" s="174" t="s">
        <v>412</v>
      </c>
      <c r="D38" s="174" t="s">
        <v>413</v>
      </c>
      <c r="E38" s="174" t="s">
        <v>268</v>
      </c>
      <c r="F38" s="175">
        <v>4</v>
      </c>
      <c r="G38" s="175">
        <v>0</v>
      </c>
      <c r="H38" s="175">
        <f t="shared" si="0"/>
        <v>0</v>
      </c>
      <c r="I38" s="175">
        <f t="shared" si="1"/>
        <v>0</v>
      </c>
      <c r="J38" s="175">
        <f t="shared" si="2"/>
        <v>0</v>
      </c>
      <c r="K38" s="175">
        <v>4E-05</v>
      </c>
      <c r="L38" s="175">
        <f t="shared" si="3"/>
        <v>0.00016</v>
      </c>
      <c r="M38" s="176" t="s">
        <v>354</v>
      </c>
      <c r="V38" s="175">
        <f t="shared" si="4"/>
        <v>0</v>
      </c>
      <c r="W38" s="175">
        <f t="shared" si="5"/>
        <v>0</v>
      </c>
      <c r="X38" s="175">
        <f t="shared" si="6"/>
        <v>0</v>
      </c>
      <c r="Y38" s="175">
        <f t="shared" si="7"/>
        <v>0</v>
      </c>
      <c r="Z38" s="175">
        <f t="shared" si="8"/>
        <v>0</v>
      </c>
      <c r="AA38" s="172"/>
      <c r="AB38" s="175">
        <f t="shared" si="9"/>
        <v>0</v>
      </c>
      <c r="AC38" s="175">
        <f t="shared" si="10"/>
        <v>0</v>
      </c>
      <c r="AD38" s="175">
        <f t="shared" si="11"/>
        <v>0</v>
      </c>
      <c r="AF38" s="175">
        <v>21</v>
      </c>
      <c r="AG38" s="175">
        <f>G38*0.485896147403685</f>
        <v>0</v>
      </c>
      <c r="AH38" s="175">
        <f>G38*(1-0.485896147403685)</f>
        <v>0</v>
      </c>
      <c r="AI38" s="176" t="s">
        <v>80</v>
      </c>
      <c r="AN38" s="175">
        <f t="shared" si="12"/>
        <v>0</v>
      </c>
      <c r="AO38" s="175">
        <f t="shared" si="13"/>
        <v>0</v>
      </c>
      <c r="AP38" s="175">
        <f t="shared" si="14"/>
        <v>0</v>
      </c>
      <c r="AQ38" s="176" t="s">
        <v>387</v>
      </c>
      <c r="AR38" s="176" t="s">
        <v>362</v>
      </c>
      <c r="AS38" s="172" t="s">
        <v>355</v>
      </c>
      <c r="AU38" s="175">
        <f t="shared" si="15"/>
        <v>0</v>
      </c>
      <c r="AV38" s="175">
        <f t="shared" si="16"/>
        <v>0</v>
      </c>
      <c r="AW38" s="175">
        <v>0</v>
      </c>
      <c r="AX38" s="175">
        <f t="shared" si="17"/>
        <v>0.00016</v>
      </c>
      <c r="AZ38" s="175">
        <f t="shared" si="18"/>
        <v>0</v>
      </c>
      <c r="BA38" s="175">
        <f t="shared" si="19"/>
        <v>0</v>
      </c>
      <c r="BB38" s="175">
        <f t="shared" si="20"/>
        <v>0</v>
      </c>
    </row>
    <row r="39" spans="1:54" ht="12">
      <c r="A39" s="174" t="s">
        <v>245</v>
      </c>
      <c r="B39" s="174"/>
      <c r="C39" s="174" t="s">
        <v>414</v>
      </c>
      <c r="D39" s="174" t="s">
        <v>415</v>
      </c>
      <c r="E39" s="174" t="s">
        <v>268</v>
      </c>
      <c r="F39" s="175">
        <v>6</v>
      </c>
      <c r="G39" s="175">
        <v>0</v>
      </c>
      <c r="H39" s="175">
        <f t="shared" si="0"/>
        <v>0</v>
      </c>
      <c r="I39" s="175">
        <f t="shared" si="1"/>
        <v>0</v>
      </c>
      <c r="J39" s="175">
        <f t="shared" si="2"/>
        <v>0</v>
      </c>
      <c r="K39" s="175">
        <v>4E-05</v>
      </c>
      <c r="L39" s="175">
        <f t="shared" si="3"/>
        <v>0.00024000000000000003</v>
      </c>
      <c r="M39" s="176" t="s">
        <v>354</v>
      </c>
      <c r="V39" s="175">
        <f t="shared" si="4"/>
        <v>0</v>
      </c>
      <c r="W39" s="175">
        <f t="shared" si="5"/>
        <v>0</v>
      </c>
      <c r="X39" s="175">
        <f t="shared" si="6"/>
        <v>0</v>
      </c>
      <c r="Y39" s="175">
        <f t="shared" si="7"/>
        <v>0</v>
      </c>
      <c r="Z39" s="175">
        <f t="shared" si="8"/>
        <v>0</v>
      </c>
      <c r="AA39" s="172"/>
      <c r="AB39" s="175">
        <f t="shared" si="9"/>
        <v>0</v>
      </c>
      <c r="AC39" s="175">
        <f t="shared" si="10"/>
        <v>0</v>
      </c>
      <c r="AD39" s="175">
        <f t="shared" si="11"/>
        <v>0</v>
      </c>
      <c r="AF39" s="175">
        <v>21</v>
      </c>
      <c r="AG39" s="175">
        <f>G39*0.483810020196756</f>
        <v>0</v>
      </c>
      <c r="AH39" s="175">
        <f>G39*(1-0.483810020196756)</f>
        <v>0</v>
      </c>
      <c r="AI39" s="176" t="s">
        <v>80</v>
      </c>
      <c r="AN39" s="175">
        <f t="shared" si="12"/>
        <v>0</v>
      </c>
      <c r="AO39" s="175">
        <f t="shared" si="13"/>
        <v>0</v>
      </c>
      <c r="AP39" s="175">
        <f t="shared" si="14"/>
        <v>0</v>
      </c>
      <c r="AQ39" s="176" t="s">
        <v>387</v>
      </c>
      <c r="AR39" s="176" t="s">
        <v>362</v>
      </c>
      <c r="AS39" s="172" t="s">
        <v>355</v>
      </c>
      <c r="AU39" s="175">
        <f t="shared" si="15"/>
        <v>0</v>
      </c>
      <c r="AV39" s="175">
        <f t="shared" si="16"/>
        <v>0</v>
      </c>
      <c r="AW39" s="175">
        <v>0</v>
      </c>
      <c r="AX39" s="175">
        <f t="shared" si="17"/>
        <v>0.00024000000000000003</v>
      </c>
      <c r="AZ39" s="175">
        <f t="shared" si="18"/>
        <v>0</v>
      </c>
      <c r="BA39" s="175">
        <f t="shared" si="19"/>
        <v>0</v>
      </c>
      <c r="BB39" s="175">
        <f t="shared" si="20"/>
        <v>0</v>
      </c>
    </row>
    <row r="40" spans="1:54" ht="12">
      <c r="A40" s="174" t="s">
        <v>249</v>
      </c>
      <c r="B40" s="174"/>
      <c r="C40" s="174" t="s">
        <v>416</v>
      </c>
      <c r="D40" s="174" t="s">
        <v>417</v>
      </c>
      <c r="E40" s="174" t="s">
        <v>268</v>
      </c>
      <c r="F40" s="175">
        <v>1</v>
      </c>
      <c r="G40" s="175">
        <v>0</v>
      </c>
      <c r="H40" s="175">
        <f t="shared" si="0"/>
        <v>0</v>
      </c>
      <c r="I40" s="175">
        <f t="shared" si="1"/>
        <v>0</v>
      </c>
      <c r="J40" s="175">
        <f t="shared" si="2"/>
        <v>0</v>
      </c>
      <c r="K40" s="175">
        <v>4E-05</v>
      </c>
      <c r="L40" s="175">
        <f t="shared" si="3"/>
        <v>4E-05</v>
      </c>
      <c r="M40" s="176" t="s">
        <v>354</v>
      </c>
      <c r="V40" s="175">
        <f t="shared" si="4"/>
        <v>0</v>
      </c>
      <c r="W40" s="175">
        <f t="shared" si="5"/>
        <v>0</v>
      </c>
      <c r="X40" s="175">
        <f t="shared" si="6"/>
        <v>0</v>
      </c>
      <c r="Y40" s="175">
        <f t="shared" si="7"/>
        <v>0</v>
      </c>
      <c r="Z40" s="175">
        <f t="shared" si="8"/>
        <v>0</v>
      </c>
      <c r="AA40" s="172"/>
      <c r="AB40" s="175">
        <f t="shared" si="9"/>
        <v>0</v>
      </c>
      <c r="AC40" s="175">
        <f t="shared" si="10"/>
        <v>0</v>
      </c>
      <c r="AD40" s="175">
        <f t="shared" si="11"/>
        <v>0</v>
      </c>
      <c r="AF40" s="175">
        <v>21</v>
      </c>
      <c r="AG40" s="175">
        <f>G40*0.502587519025875</f>
        <v>0</v>
      </c>
      <c r="AH40" s="175">
        <f>G40*(1-0.502587519025875)</f>
        <v>0</v>
      </c>
      <c r="AI40" s="176" t="s">
        <v>80</v>
      </c>
      <c r="AN40" s="175">
        <f t="shared" si="12"/>
        <v>0</v>
      </c>
      <c r="AO40" s="175">
        <f t="shared" si="13"/>
        <v>0</v>
      </c>
      <c r="AP40" s="175">
        <f t="shared" si="14"/>
        <v>0</v>
      </c>
      <c r="AQ40" s="176" t="s">
        <v>387</v>
      </c>
      <c r="AR40" s="176" t="s">
        <v>362</v>
      </c>
      <c r="AS40" s="172" t="s">
        <v>355</v>
      </c>
      <c r="AU40" s="175">
        <f t="shared" si="15"/>
        <v>0</v>
      </c>
      <c r="AV40" s="175">
        <f t="shared" si="16"/>
        <v>0</v>
      </c>
      <c r="AW40" s="175">
        <v>0</v>
      </c>
      <c r="AX40" s="175">
        <f t="shared" si="17"/>
        <v>4E-05</v>
      </c>
      <c r="AZ40" s="175">
        <f t="shared" si="18"/>
        <v>0</v>
      </c>
      <c r="BA40" s="175">
        <f t="shared" si="19"/>
        <v>0</v>
      </c>
      <c r="BB40" s="175">
        <f t="shared" si="20"/>
        <v>0</v>
      </c>
    </row>
    <row r="41" spans="1:54" ht="12">
      <c r="A41" s="174" t="s">
        <v>254</v>
      </c>
      <c r="B41" s="174"/>
      <c r="C41" s="174" t="s">
        <v>418</v>
      </c>
      <c r="D41" s="174" t="s">
        <v>419</v>
      </c>
      <c r="E41" s="174" t="s">
        <v>268</v>
      </c>
      <c r="F41" s="175">
        <v>23</v>
      </c>
      <c r="G41" s="175">
        <v>0</v>
      </c>
      <c r="H41" s="175">
        <f t="shared" si="0"/>
        <v>0</v>
      </c>
      <c r="I41" s="175">
        <f t="shared" si="1"/>
        <v>0</v>
      </c>
      <c r="J41" s="175">
        <f t="shared" si="2"/>
        <v>0</v>
      </c>
      <c r="K41" s="175">
        <v>9E-05</v>
      </c>
      <c r="L41" s="175">
        <f t="shared" si="3"/>
        <v>0.0020700000000000002</v>
      </c>
      <c r="M41" s="176" t="s">
        <v>354</v>
      </c>
      <c r="V41" s="175">
        <f t="shared" si="4"/>
        <v>0</v>
      </c>
      <c r="W41" s="175">
        <f t="shared" si="5"/>
        <v>0</v>
      </c>
      <c r="X41" s="175">
        <f t="shared" si="6"/>
        <v>0</v>
      </c>
      <c r="Y41" s="175">
        <f t="shared" si="7"/>
        <v>0</v>
      </c>
      <c r="Z41" s="175">
        <f t="shared" si="8"/>
        <v>0</v>
      </c>
      <c r="AA41" s="172"/>
      <c r="AB41" s="175">
        <f t="shared" si="9"/>
        <v>0</v>
      </c>
      <c r="AC41" s="175">
        <f t="shared" si="10"/>
        <v>0</v>
      </c>
      <c r="AD41" s="175">
        <f t="shared" si="11"/>
        <v>0</v>
      </c>
      <c r="AF41" s="175">
        <v>21</v>
      </c>
      <c r="AG41" s="175">
        <f>G41*0.60653130287648</f>
        <v>0</v>
      </c>
      <c r="AH41" s="175">
        <f>G41*(1-0.60653130287648)</f>
        <v>0</v>
      </c>
      <c r="AI41" s="176" t="s">
        <v>80</v>
      </c>
      <c r="AN41" s="175">
        <f t="shared" si="12"/>
        <v>0</v>
      </c>
      <c r="AO41" s="175">
        <f t="shared" si="13"/>
        <v>0</v>
      </c>
      <c r="AP41" s="175">
        <f t="shared" si="14"/>
        <v>0</v>
      </c>
      <c r="AQ41" s="176" t="s">
        <v>387</v>
      </c>
      <c r="AR41" s="176" t="s">
        <v>362</v>
      </c>
      <c r="AS41" s="172" t="s">
        <v>355</v>
      </c>
      <c r="AU41" s="175">
        <f t="shared" si="15"/>
        <v>0</v>
      </c>
      <c r="AV41" s="175">
        <f t="shared" si="16"/>
        <v>0</v>
      </c>
      <c r="AW41" s="175">
        <v>0</v>
      </c>
      <c r="AX41" s="175">
        <f t="shared" si="17"/>
        <v>0.0020700000000000002</v>
      </c>
      <c r="AZ41" s="175">
        <f t="shared" si="18"/>
        <v>0</v>
      </c>
      <c r="BA41" s="175">
        <f t="shared" si="19"/>
        <v>0</v>
      </c>
      <c r="BB41" s="175">
        <f t="shared" si="20"/>
        <v>0</v>
      </c>
    </row>
    <row r="42" spans="1:54" ht="12">
      <c r="A42" s="174" t="s">
        <v>258</v>
      </c>
      <c r="B42" s="174"/>
      <c r="C42" s="174" t="s">
        <v>420</v>
      </c>
      <c r="D42" s="174" t="s">
        <v>421</v>
      </c>
      <c r="E42" s="174" t="s">
        <v>268</v>
      </c>
      <c r="F42" s="175">
        <v>6</v>
      </c>
      <c r="G42" s="175">
        <v>0</v>
      </c>
      <c r="H42" s="175">
        <f t="shared" si="0"/>
        <v>0</v>
      </c>
      <c r="I42" s="175">
        <f t="shared" si="1"/>
        <v>0</v>
      </c>
      <c r="J42" s="175">
        <f t="shared" si="2"/>
        <v>0</v>
      </c>
      <c r="K42" s="175">
        <v>6E-05</v>
      </c>
      <c r="L42" s="175">
        <f t="shared" si="3"/>
        <v>0.00036</v>
      </c>
      <c r="M42" s="176" t="s">
        <v>354</v>
      </c>
      <c r="V42" s="175">
        <f t="shared" si="4"/>
        <v>0</v>
      </c>
      <c r="W42" s="175">
        <f t="shared" si="5"/>
        <v>0</v>
      </c>
      <c r="X42" s="175">
        <f t="shared" si="6"/>
        <v>0</v>
      </c>
      <c r="Y42" s="175">
        <f t="shared" si="7"/>
        <v>0</v>
      </c>
      <c r="Z42" s="175">
        <f t="shared" si="8"/>
        <v>0</v>
      </c>
      <c r="AA42" s="172"/>
      <c r="AB42" s="175">
        <f t="shared" si="9"/>
        <v>0</v>
      </c>
      <c r="AC42" s="175">
        <f t="shared" si="10"/>
        <v>0</v>
      </c>
      <c r="AD42" s="175">
        <f t="shared" si="11"/>
        <v>0</v>
      </c>
      <c r="AF42" s="175">
        <v>21</v>
      </c>
      <c r="AG42" s="175">
        <f>G42*0.664361549497848</f>
        <v>0</v>
      </c>
      <c r="AH42" s="175">
        <f>G42*(1-0.664361549497848)</f>
        <v>0</v>
      </c>
      <c r="AI42" s="176" t="s">
        <v>80</v>
      </c>
      <c r="AN42" s="175">
        <f t="shared" si="12"/>
        <v>0</v>
      </c>
      <c r="AO42" s="175">
        <f t="shared" si="13"/>
        <v>0</v>
      </c>
      <c r="AP42" s="175">
        <f t="shared" si="14"/>
        <v>0</v>
      </c>
      <c r="AQ42" s="176" t="s">
        <v>387</v>
      </c>
      <c r="AR42" s="176" t="s">
        <v>362</v>
      </c>
      <c r="AS42" s="172" t="s">
        <v>355</v>
      </c>
      <c r="AU42" s="175">
        <f t="shared" si="15"/>
        <v>0</v>
      </c>
      <c r="AV42" s="175">
        <f t="shared" si="16"/>
        <v>0</v>
      </c>
      <c r="AW42" s="175">
        <v>0</v>
      </c>
      <c r="AX42" s="175">
        <f t="shared" si="17"/>
        <v>0.00036</v>
      </c>
      <c r="AZ42" s="175">
        <f t="shared" si="18"/>
        <v>0</v>
      </c>
      <c r="BA42" s="175">
        <f t="shared" si="19"/>
        <v>0</v>
      </c>
      <c r="BB42" s="175">
        <f t="shared" si="20"/>
        <v>0</v>
      </c>
    </row>
    <row r="43" spans="1:54" ht="12">
      <c r="A43" s="174" t="s">
        <v>252</v>
      </c>
      <c r="B43" s="174"/>
      <c r="C43" s="174" t="s">
        <v>422</v>
      </c>
      <c r="D43" s="174" t="s">
        <v>423</v>
      </c>
      <c r="E43" s="174" t="s">
        <v>268</v>
      </c>
      <c r="F43" s="175">
        <v>23</v>
      </c>
      <c r="G43" s="175">
        <v>0</v>
      </c>
      <c r="H43" s="175">
        <f t="shared" si="0"/>
        <v>0</v>
      </c>
      <c r="I43" s="175">
        <f t="shared" si="1"/>
        <v>0</v>
      </c>
      <c r="J43" s="175">
        <f t="shared" si="2"/>
        <v>0</v>
      </c>
      <c r="K43" s="175">
        <v>0</v>
      </c>
      <c r="L43" s="175">
        <f t="shared" si="3"/>
        <v>0</v>
      </c>
      <c r="M43" s="176" t="s">
        <v>354</v>
      </c>
      <c r="V43" s="175">
        <f t="shared" si="4"/>
        <v>0</v>
      </c>
      <c r="W43" s="175">
        <f t="shared" si="5"/>
        <v>0</v>
      </c>
      <c r="X43" s="175">
        <f t="shared" si="6"/>
        <v>0</v>
      </c>
      <c r="Y43" s="175">
        <f t="shared" si="7"/>
        <v>0</v>
      </c>
      <c r="Z43" s="175">
        <f t="shared" si="8"/>
        <v>0</v>
      </c>
      <c r="AA43" s="172"/>
      <c r="AB43" s="175">
        <f t="shared" si="9"/>
        <v>0</v>
      </c>
      <c r="AC43" s="175">
        <f t="shared" si="10"/>
        <v>0</v>
      </c>
      <c r="AD43" s="175">
        <f t="shared" si="11"/>
        <v>0</v>
      </c>
      <c r="AF43" s="175">
        <v>21</v>
      </c>
      <c r="AG43" s="175">
        <f>G43*0</f>
        <v>0</v>
      </c>
      <c r="AH43" s="175">
        <f>G43*(1-0)</f>
        <v>0</v>
      </c>
      <c r="AI43" s="176" t="s">
        <v>80</v>
      </c>
      <c r="AN43" s="175">
        <f t="shared" si="12"/>
        <v>0</v>
      </c>
      <c r="AO43" s="175">
        <f t="shared" si="13"/>
        <v>0</v>
      </c>
      <c r="AP43" s="175">
        <f t="shared" si="14"/>
        <v>0</v>
      </c>
      <c r="AQ43" s="176" t="s">
        <v>387</v>
      </c>
      <c r="AR43" s="176" t="s">
        <v>362</v>
      </c>
      <c r="AS43" s="172" t="s">
        <v>355</v>
      </c>
      <c r="AU43" s="175">
        <f t="shared" si="15"/>
        <v>0</v>
      </c>
      <c r="AV43" s="175">
        <f t="shared" si="16"/>
        <v>0</v>
      </c>
      <c r="AW43" s="175">
        <v>0</v>
      </c>
      <c r="AX43" s="175">
        <f t="shared" si="17"/>
        <v>0</v>
      </c>
      <c r="AZ43" s="175">
        <f t="shared" si="18"/>
        <v>0</v>
      </c>
      <c r="BA43" s="175">
        <f t="shared" si="19"/>
        <v>0</v>
      </c>
      <c r="BB43" s="175">
        <f t="shared" si="20"/>
        <v>0</v>
      </c>
    </row>
    <row r="44" spans="1:54" ht="12">
      <c r="A44" s="174" t="s">
        <v>265</v>
      </c>
      <c r="B44" s="174"/>
      <c r="C44" s="174" t="s">
        <v>424</v>
      </c>
      <c r="D44" s="174" t="s">
        <v>425</v>
      </c>
      <c r="E44" s="174" t="s">
        <v>268</v>
      </c>
      <c r="F44" s="175">
        <v>4</v>
      </c>
      <c r="G44" s="175">
        <v>0</v>
      </c>
      <c r="H44" s="175">
        <f t="shared" si="0"/>
        <v>0</v>
      </c>
      <c r="I44" s="175">
        <f t="shared" si="1"/>
        <v>0</v>
      </c>
      <c r="J44" s="175">
        <f t="shared" si="2"/>
        <v>0</v>
      </c>
      <c r="K44" s="175">
        <v>0</v>
      </c>
      <c r="L44" s="175">
        <f t="shared" si="3"/>
        <v>0</v>
      </c>
      <c r="M44" s="176" t="s">
        <v>354</v>
      </c>
      <c r="V44" s="175">
        <f t="shared" si="4"/>
        <v>0</v>
      </c>
      <c r="W44" s="175">
        <f t="shared" si="5"/>
        <v>0</v>
      </c>
      <c r="X44" s="175">
        <f t="shared" si="6"/>
        <v>0</v>
      </c>
      <c r="Y44" s="175">
        <f t="shared" si="7"/>
        <v>0</v>
      </c>
      <c r="Z44" s="175">
        <f t="shared" si="8"/>
        <v>0</v>
      </c>
      <c r="AA44" s="172"/>
      <c r="AB44" s="175">
        <f t="shared" si="9"/>
        <v>0</v>
      </c>
      <c r="AC44" s="175">
        <f t="shared" si="10"/>
        <v>0</v>
      </c>
      <c r="AD44" s="175">
        <f t="shared" si="11"/>
        <v>0</v>
      </c>
      <c r="AF44" s="175">
        <v>21</v>
      </c>
      <c r="AG44" s="175">
        <f>G44*0.488222222222222</f>
        <v>0</v>
      </c>
      <c r="AH44" s="175">
        <f>G44*(1-0.488222222222222)</f>
        <v>0</v>
      </c>
      <c r="AI44" s="176" t="s">
        <v>80</v>
      </c>
      <c r="AN44" s="175">
        <f t="shared" si="12"/>
        <v>0</v>
      </c>
      <c r="AO44" s="175">
        <f t="shared" si="13"/>
        <v>0</v>
      </c>
      <c r="AP44" s="175">
        <f t="shared" si="14"/>
        <v>0</v>
      </c>
      <c r="AQ44" s="176" t="s">
        <v>387</v>
      </c>
      <c r="AR44" s="176" t="s">
        <v>362</v>
      </c>
      <c r="AS44" s="172" t="s">
        <v>355</v>
      </c>
      <c r="AU44" s="175">
        <f t="shared" si="15"/>
        <v>0</v>
      </c>
      <c r="AV44" s="175">
        <f t="shared" si="16"/>
        <v>0</v>
      </c>
      <c r="AW44" s="175">
        <v>0</v>
      </c>
      <c r="AX44" s="175">
        <f t="shared" si="17"/>
        <v>0</v>
      </c>
      <c r="AZ44" s="175">
        <f t="shared" si="18"/>
        <v>0</v>
      </c>
      <c r="BA44" s="175">
        <f t="shared" si="19"/>
        <v>0</v>
      </c>
      <c r="BB44" s="175">
        <f t="shared" si="20"/>
        <v>0</v>
      </c>
    </row>
    <row r="45" spans="1:54" ht="12">
      <c r="A45" s="174" t="s">
        <v>270</v>
      </c>
      <c r="B45" s="174"/>
      <c r="C45" s="174" t="s">
        <v>424</v>
      </c>
      <c r="D45" s="174" t="s">
        <v>426</v>
      </c>
      <c r="E45" s="174" t="s">
        <v>268</v>
      </c>
      <c r="F45" s="175">
        <v>10</v>
      </c>
      <c r="G45" s="175">
        <v>0</v>
      </c>
      <c r="H45" s="175">
        <f t="shared" si="0"/>
        <v>0</v>
      </c>
      <c r="I45" s="175">
        <f t="shared" si="1"/>
        <v>0</v>
      </c>
      <c r="J45" s="175">
        <f t="shared" si="2"/>
        <v>0</v>
      </c>
      <c r="K45" s="175">
        <v>0</v>
      </c>
      <c r="L45" s="175">
        <f t="shared" si="3"/>
        <v>0</v>
      </c>
      <c r="M45" s="176" t="s">
        <v>354</v>
      </c>
      <c r="V45" s="175">
        <f t="shared" si="4"/>
        <v>0</v>
      </c>
      <c r="W45" s="175">
        <f t="shared" si="5"/>
        <v>0</v>
      </c>
      <c r="X45" s="175">
        <f t="shared" si="6"/>
        <v>0</v>
      </c>
      <c r="Y45" s="175">
        <f t="shared" si="7"/>
        <v>0</v>
      </c>
      <c r="Z45" s="175">
        <f t="shared" si="8"/>
        <v>0</v>
      </c>
      <c r="AA45" s="172"/>
      <c r="AB45" s="175">
        <f t="shared" si="9"/>
        <v>0</v>
      </c>
      <c r="AC45" s="175">
        <f t="shared" si="10"/>
        <v>0</v>
      </c>
      <c r="AD45" s="175">
        <f t="shared" si="11"/>
        <v>0</v>
      </c>
      <c r="AF45" s="175">
        <v>21</v>
      </c>
      <c r="AG45" s="175">
        <f>G45*0.488211538461538</f>
        <v>0</v>
      </c>
      <c r="AH45" s="175">
        <f>G45*(1-0.488211538461538)</f>
        <v>0</v>
      </c>
      <c r="AI45" s="176" t="s">
        <v>80</v>
      </c>
      <c r="AN45" s="175">
        <f t="shared" si="12"/>
        <v>0</v>
      </c>
      <c r="AO45" s="175">
        <f t="shared" si="13"/>
        <v>0</v>
      </c>
      <c r="AP45" s="175">
        <f t="shared" si="14"/>
        <v>0</v>
      </c>
      <c r="AQ45" s="176" t="s">
        <v>387</v>
      </c>
      <c r="AR45" s="176" t="s">
        <v>362</v>
      </c>
      <c r="AS45" s="172" t="s">
        <v>355</v>
      </c>
      <c r="AU45" s="175">
        <f t="shared" si="15"/>
        <v>0</v>
      </c>
      <c r="AV45" s="175">
        <f t="shared" si="16"/>
        <v>0</v>
      </c>
      <c r="AW45" s="175">
        <v>0</v>
      </c>
      <c r="AX45" s="175">
        <f t="shared" si="17"/>
        <v>0</v>
      </c>
      <c r="AZ45" s="175">
        <f t="shared" si="18"/>
        <v>0</v>
      </c>
      <c r="BA45" s="175">
        <f t="shared" si="19"/>
        <v>0</v>
      </c>
      <c r="BB45" s="175">
        <f t="shared" si="20"/>
        <v>0</v>
      </c>
    </row>
    <row r="46" spans="1:54" ht="12">
      <c r="A46" s="174" t="s">
        <v>276</v>
      </c>
      <c r="B46" s="174"/>
      <c r="C46" s="174" t="s">
        <v>427</v>
      </c>
      <c r="D46" s="174" t="s">
        <v>428</v>
      </c>
      <c r="E46" s="174" t="s">
        <v>268</v>
      </c>
      <c r="F46" s="175">
        <v>1</v>
      </c>
      <c r="G46" s="175">
        <v>0</v>
      </c>
      <c r="H46" s="175">
        <f t="shared" si="0"/>
        <v>0</v>
      </c>
      <c r="I46" s="175">
        <f t="shared" si="1"/>
        <v>0</v>
      </c>
      <c r="J46" s="175">
        <f t="shared" si="2"/>
        <v>0</v>
      </c>
      <c r="K46" s="175">
        <v>0</v>
      </c>
      <c r="L46" s="175">
        <f t="shared" si="3"/>
        <v>0</v>
      </c>
      <c r="M46" s="176" t="s">
        <v>354</v>
      </c>
      <c r="V46" s="175">
        <f t="shared" si="4"/>
        <v>0</v>
      </c>
      <c r="W46" s="175">
        <f t="shared" si="5"/>
        <v>0</v>
      </c>
      <c r="X46" s="175">
        <f t="shared" si="6"/>
        <v>0</v>
      </c>
      <c r="Y46" s="175">
        <f t="shared" si="7"/>
        <v>0</v>
      </c>
      <c r="Z46" s="175">
        <f t="shared" si="8"/>
        <v>0</v>
      </c>
      <c r="AA46" s="172"/>
      <c r="AB46" s="175">
        <f t="shared" si="9"/>
        <v>0</v>
      </c>
      <c r="AC46" s="175">
        <f t="shared" si="10"/>
        <v>0</v>
      </c>
      <c r="AD46" s="175">
        <f t="shared" si="11"/>
        <v>0</v>
      </c>
      <c r="AF46" s="175">
        <v>21</v>
      </c>
      <c r="AG46" s="175">
        <f>G46*0.661835535976505</f>
        <v>0</v>
      </c>
      <c r="AH46" s="175">
        <f>G46*(1-0.661835535976505)</f>
        <v>0</v>
      </c>
      <c r="AI46" s="176" t="s">
        <v>80</v>
      </c>
      <c r="AN46" s="175">
        <f t="shared" si="12"/>
        <v>0</v>
      </c>
      <c r="AO46" s="175">
        <f t="shared" si="13"/>
        <v>0</v>
      </c>
      <c r="AP46" s="175">
        <f t="shared" si="14"/>
        <v>0</v>
      </c>
      <c r="AQ46" s="176" t="s">
        <v>387</v>
      </c>
      <c r="AR46" s="176" t="s">
        <v>362</v>
      </c>
      <c r="AS46" s="172" t="s">
        <v>355</v>
      </c>
      <c r="AU46" s="175">
        <f t="shared" si="15"/>
        <v>0</v>
      </c>
      <c r="AV46" s="175">
        <f t="shared" si="16"/>
        <v>0</v>
      </c>
      <c r="AW46" s="175">
        <v>0</v>
      </c>
      <c r="AX46" s="175">
        <f t="shared" si="17"/>
        <v>0</v>
      </c>
      <c r="AZ46" s="175">
        <f t="shared" si="18"/>
        <v>0</v>
      </c>
      <c r="BA46" s="175">
        <f t="shared" si="19"/>
        <v>0</v>
      </c>
      <c r="BB46" s="175">
        <f t="shared" si="20"/>
        <v>0</v>
      </c>
    </row>
    <row r="47" spans="1:54" ht="12">
      <c r="A47" s="174" t="s">
        <v>280</v>
      </c>
      <c r="B47" s="174"/>
      <c r="C47" s="174" t="s">
        <v>429</v>
      </c>
      <c r="D47" s="174" t="s">
        <v>430</v>
      </c>
      <c r="E47" s="174" t="s">
        <v>268</v>
      </c>
      <c r="F47" s="175">
        <v>2</v>
      </c>
      <c r="G47" s="175">
        <v>0</v>
      </c>
      <c r="H47" s="175">
        <f t="shared" si="0"/>
        <v>0</v>
      </c>
      <c r="I47" s="175">
        <f t="shared" si="1"/>
        <v>0</v>
      </c>
      <c r="J47" s="175">
        <f t="shared" si="2"/>
        <v>0</v>
      </c>
      <c r="K47" s="175">
        <v>0</v>
      </c>
      <c r="L47" s="175">
        <f t="shared" si="3"/>
        <v>0</v>
      </c>
      <c r="M47" s="176" t="s">
        <v>354</v>
      </c>
      <c r="V47" s="175">
        <f t="shared" si="4"/>
        <v>0</v>
      </c>
      <c r="W47" s="175">
        <f t="shared" si="5"/>
        <v>0</v>
      </c>
      <c r="X47" s="175">
        <f t="shared" si="6"/>
        <v>0</v>
      </c>
      <c r="Y47" s="175">
        <f t="shared" si="7"/>
        <v>0</v>
      </c>
      <c r="Z47" s="175">
        <f t="shared" si="8"/>
        <v>0</v>
      </c>
      <c r="AA47" s="172"/>
      <c r="AB47" s="175">
        <f t="shared" si="9"/>
        <v>0</v>
      </c>
      <c r="AC47" s="175">
        <f t="shared" si="10"/>
        <v>0</v>
      </c>
      <c r="AD47" s="175">
        <f t="shared" si="11"/>
        <v>0</v>
      </c>
      <c r="AF47" s="175">
        <v>21</v>
      </c>
      <c r="AG47" s="175">
        <f>G47*0.71609756097561</f>
        <v>0</v>
      </c>
      <c r="AH47" s="175">
        <f>G47*(1-0.71609756097561)</f>
        <v>0</v>
      </c>
      <c r="AI47" s="176" t="s">
        <v>80</v>
      </c>
      <c r="AN47" s="175">
        <f t="shared" si="12"/>
        <v>0</v>
      </c>
      <c r="AO47" s="175">
        <f t="shared" si="13"/>
        <v>0</v>
      </c>
      <c r="AP47" s="175">
        <f t="shared" si="14"/>
        <v>0</v>
      </c>
      <c r="AQ47" s="176" t="s">
        <v>387</v>
      </c>
      <c r="AR47" s="176" t="s">
        <v>362</v>
      </c>
      <c r="AS47" s="172" t="s">
        <v>355</v>
      </c>
      <c r="AU47" s="175">
        <f t="shared" si="15"/>
        <v>0</v>
      </c>
      <c r="AV47" s="175">
        <f t="shared" si="16"/>
        <v>0</v>
      </c>
      <c r="AW47" s="175">
        <v>0</v>
      </c>
      <c r="AX47" s="175">
        <f t="shared" si="17"/>
        <v>0</v>
      </c>
      <c r="AZ47" s="175">
        <f t="shared" si="18"/>
        <v>0</v>
      </c>
      <c r="BA47" s="175">
        <f t="shared" si="19"/>
        <v>0</v>
      </c>
      <c r="BB47" s="175">
        <f t="shared" si="20"/>
        <v>0</v>
      </c>
    </row>
    <row r="48" spans="1:54" ht="12">
      <c r="A48" s="174" t="s">
        <v>284</v>
      </c>
      <c r="B48" s="174"/>
      <c r="C48" s="174" t="s">
        <v>431</v>
      </c>
      <c r="D48" s="174" t="s">
        <v>432</v>
      </c>
      <c r="E48" s="174" t="s">
        <v>268</v>
      </c>
      <c r="F48" s="175">
        <v>2</v>
      </c>
      <c r="G48" s="175">
        <v>0</v>
      </c>
      <c r="H48" s="175">
        <f t="shared" si="0"/>
        <v>0</v>
      </c>
      <c r="I48" s="175">
        <f t="shared" si="1"/>
        <v>0</v>
      </c>
      <c r="J48" s="175">
        <f t="shared" si="2"/>
        <v>0</v>
      </c>
      <c r="K48" s="175">
        <v>0</v>
      </c>
      <c r="L48" s="175">
        <f t="shared" si="3"/>
        <v>0</v>
      </c>
      <c r="M48" s="176" t="s">
        <v>354</v>
      </c>
      <c r="V48" s="175">
        <f t="shared" si="4"/>
        <v>0</v>
      </c>
      <c r="W48" s="175">
        <f t="shared" si="5"/>
        <v>0</v>
      </c>
      <c r="X48" s="175">
        <f t="shared" si="6"/>
        <v>0</v>
      </c>
      <c r="Y48" s="175">
        <f t="shared" si="7"/>
        <v>0</v>
      </c>
      <c r="Z48" s="175">
        <f t="shared" si="8"/>
        <v>0</v>
      </c>
      <c r="AA48" s="172"/>
      <c r="AB48" s="175">
        <f t="shared" si="9"/>
        <v>0</v>
      </c>
      <c r="AC48" s="175">
        <f t="shared" si="10"/>
        <v>0</v>
      </c>
      <c r="AD48" s="175">
        <f t="shared" si="11"/>
        <v>0</v>
      </c>
      <c r="AF48" s="175">
        <v>21</v>
      </c>
      <c r="AG48" s="175">
        <f>G48*0.659697297297297</f>
        <v>0</v>
      </c>
      <c r="AH48" s="175">
        <f>G48*(1-0.659697297297297)</f>
        <v>0</v>
      </c>
      <c r="AI48" s="176" t="s">
        <v>80</v>
      </c>
      <c r="AN48" s="175">
        <f t="shared" si="12"/>
        <v>0</v>
      </c>
      <c r="AO48" s="175">
        <f t="shared" si="13"/>
        <v>0</v>
      </c>
      <c r="AP48" s="175">
        <f t="shared" si="14"/>
        <v>0</v>
      </c>
      <c r="AQ48" s="176" t="s">
        <v>387</v>
      </c>
      <c r="AR48" s="176" t="s">
        <v>362</v>
      </c>
      <c r="AS48" s="172" t="s">
        <v>355</v>
      </c>
      <c r="AU48" s="175">
        <f t="shared" si="15"/>
        <v>0</v>
      </c>
      <c r="AV48" s="175">
        <f t="shared" si="16"/>
        <v>0</v>
      </c>
      <c r="AW48" s="175">
        <v>0</v>
      </c>
      <c r="AX48" s="175">
        <f t="shared" si="17"/>
        <v>0</v>
      </c>
      <c r="AZ48" s="175">
        <f t="shared" si="18"/>
        <v>0</v>
      </c>
      <c r="BA48" s="175">
        <f t="shared" si="19"/>
        <v>0</v>
      </c>
      <c r="BB48" s="175">
        <f t="shared" si="20"/>
        <v>0</v>
      </c>
    </row>
    <row r="49" spans="1:54" ht="12">
      <c r="A49" s="174" t="s">
        <v>288</v>
      </c>
      <c r="B49" s="174"/>
      <c r="C49" s="174" t="s">
        <v>433</v>
      </c>
      <c r="D49" s="174" t="s">
        <v>434</v>
      </c>
      <c r="E49" s="174" t="s">
        <v>144</v>
      </c>
      <c r="F49" s="175">
        <v>465</v>
      </c>
      <c r="G49" s="175">
        <v>0</v>
      </c>
      <c r="H49" s="175">
        <f t="shared" si="0"/>
        <v>0</v>
      </c>
      <c r="I49" s="175">
        <f t="shared" si="1"/>
        <v>0</v>
      </c>
      <c r="J49" s="175">
        <f t="shared" si="2"/>
        <v>0</v>
      </c>
      <c r="K49" s="175">
        <v>0.00016</v>
      </c>
      <c r="L49" s="175">
        <f t="shared" si="3"/>
        <v>0.07440000000000001</v>
      </c>
      <c r="M49" s="176" t="s">
        <v>354</v>
      </c>
      <c r="V49" s="175">
        <f t="shared" si="4"/>
        <v>0</v>
      </c>
      <c r="W49" s="175">
        <f t="shared" si="5"/>
        <v>0</v>
      </c>
      <c r="X49" s="175">
        <f t="shared" si="6"/>
        <v>0</v>
      </c>
      <c r="Y49" s="175">
        <f t="shared" si="7"/>
        <v>0</v>
      </c>
      <c r="Z49" s="175">
        <f t="shared" si="8"/>
        <v>0</v>
      </c>
      <c r="AA49" s="172"/>
      <c r="AB49" s="175">
        <f t="shared" si="9"/>
        <v>0</v>
      </c>
      <c r="AC49" s="175">
        <f t="shared" si="10"/>
        <v>0</v>
      </c>
      <c r="AD49" s="175">
        <f t="shared" si="11"/>
        <v>0</v>
      </c>
      <c r="AF49" s="175">
        <v>21</v>
      </c>
      <c r="AG49" s="175">
        <f>G49*0.231368421052632</f>
        <v>0</v>
      </c>
      <c r="AH49" s="175">
        <f>G49*(1-0.231368421052632)</f>
        <v>0</v>
      </c>
      <c r="AI49" s="176" t="s">
        <v>80</v>
      </c>
      <c r="AN49" s="175">
        <f t="shared" si="12"/>
        <v>0</v>
      </c>
      <c r="AO49" s="175">
        <f t="shared" si="13"/>
        <v>0</v>
      </c>
      <c r="AP49" s="175">
        <f t="shared" si="14"/>
        <v>0</v>
      </c>
      <c r="AQ49" s="176" t="s">
        <v>387</v>
      </c>
      <c r="AR49" s="176" t="s">
        <v>362</v>
      </c>
      <c r="AS49" s="172" t="s">
        <v>355</v>
      </c>
      <c r="AU49" s="175">
        <f t="shared" si="15"/>
        <v>0</v>
      </c>
      <c r="AV49" s="175">
        <f t="shared" si="16"/>
        <v>0</v>
      </c>
      <c r="AW49" s="175">
        <v>0</v>
      </c>
      <c r="AX49" s="175">
        <f t="shared" si="17"/>
        <v>0.07440000000000001</v>
      </c>
      <c r="AZ49" s="175">
        <f t="shared" si="18"/>
        <v>0</v>
      </c>
      <c r="BA49" s="175">
        <f t="shared" si="19"/>
        <v>0</v>
      </c>
      <c r="BB49" s="175">
        <f t="shared" si="20"/>
        <v>0</v>
      </c>
    </row>
    <row r="50" spans="1:54" ht="12">
      <c r="A50" s="174" t="s">
        <v>304</v>
      </c>
      <c r="B50" s="174"/>
      <c r="C50" s="174" t="s">
        <v>435</v>
      </c>
      <c r="D50" s="174" t="s">
        <v>436</v>
      </c>
      <c r="E50" s="174" t="s">
        <v>144</v>
      </c>
      <c r="F50" s="175">
        <v>562</v>
      </c>
      <c r="G50" s="175">
        <v>0</v>
      </c>
      <c r="H50" s="175">
        <f t="shared" si="0"/>
        <v>0</v>
      </c>
      <c r="I50" s="175">
        <f t="shared" si="1"/>
        <v>0</v>
      </c>
      <c r="J50" s="175">
        <f t="shared" si="2"/>
        <v>0</v>
      </c>
      <c r="K50" s="175">
        <v>0.00023</v>
      </c>
      <c r="L50" s="175">
        <f t="shared" si="3"/>
        <v>0.12926</v>
      </c>
      <c r="M50" s="176" t="s">
        <v>354</v>
      </c>
      <c r="V50" s="175">
        <f t="shared" si="4"/>
        <v>0</v>
      </c>
      <c r="W50" s="175">
        <f t="shared" si="5"/>
        <v>0</v>
      </c>
      <c r="X50" s="175">
        <f t="shared" si="6"/>
        <v>0</v>
      </c>
      <c r="Y50" s="175">
        <f t="shared" si="7"/>
        <v>0</v>
      </c>
      <c r="Z50" s="175">
        <f t="shared" si="8"/>
        <v>0</v>
      </c>
      <c r="AA50" s="172"/>
      <c r="AB50" s="175">
        <f t="shared" si="9"/>
        <v>0</v>
      </c>
      <c r="AC50" s="175">
        <f t="shared" si="10"/>
        <v>0</v>
      </c>
      <c r="AD50" s="175">
        <f t="shared" si="11"/>
        <v>0</v>
      </c>
      <c r="AF50" s="175">
        <v>21</v>
      </c>
      <c r="AG50" s="175">
        <f>G50*0.32704</f>
        <v>0</v>
      </c>
      <c r="AH50" s="175">
        <f>G50*(1-0.32704)</f>
        <v>0</v>
      </c>
      <c r="AI50" s="176" t="s">
        <v>80</v>
      </c>
      <c r="AN50" s="175">
        <f t="shared" si="12"/>
        <v>0</v>
      </c>
      <c r="AO50" s="175">
        <f t="shared" si="13"/>
        <v>0</v>
      </c>
      <c r="AP50" s="175">
        <f t="shared" si="14"/>
        <v>0</v>
      </c>
      <c r="AQ50" s="176" t="s">
        <v>387</v>
      </c>
      <c r="AR50" s="176" t="s">
        <v>362</v>
      </c>
      <c r="AS50" s="172" t="s">
        <v>355</v>
      </c>
      <c r="AU50" s="175">
        <f t="shared" si="15"/>
        <v>0</v>
      </c>
      <c r="AV50" s="175">
        <f t="shared" si="16"/>
        <v>0</v>
      </c>
      <c r="AW50" s="175">
        <v>0</v>
      </c>
      <c r="AX50" s="175">
        <f t="shared" si="17"/>
        <v>0.12926</v>
      </c>
      <c r="AZ50" s="175">
        <f t="shared" si="18"/>
        <v>0</v>
      </c>
      <c r="BA50" s="175">
        <f t="shared" si="19"/>
        <v>0</v>
      </c>
      <c r="BB50" s="175">
        <f t="shared" si="20"/>
        <v>0</v>
      </c>
    </row>
    <row r="51" spans="1:54" ht="12">
      <c r="A51" s="174" t="s">
        <v>309</v>
      </c>
      <c r="B51" s="174"/>
      <c r="C51" s="174" t="s">
        <v>437</v>
      </c>
      <c r="D51" s="174" t="s">
        <v>438</v>
      </c>
      <c r="E51" s="174" t="s">
        <v>144</v>
      </c>
      <c r="F51" s="175">
        <v>35</v>
      </c>
      <c r="G51" s="175">
        <v>0</v>
      </c>
      <c r="H51" s="175">
        <f t="shared" si="0"/>
        <v>0</v>
      </c>
      <c r="I51" s="175">
        <f t="shared" si="1"/>
        <v>0</v>
      </c>
      <c r="J51" s="175">
        <f t="shared" si="2"/>
        <v>0</v>
      </c>
      <c r="K51" s="175">
        <v>0.00043</v>
      </c>
      <c r="L51" s="175">
        <f t="shared" si="3"/>
        <v>0.01505</v>
      </c>
      <c r="M51" s="176" t="s">
        <v>354</v>
      </c>
      <c r="V51" s="175">
        <f t="shared" si="4"/>
        <v>0</v>
      </c>
      <c r="W51" s="175">
        <f t="shared" si="5"/>
        <v>0</v>
      </c>
      <c r="X51" s="175">
        <f t="shared" si="6"/>
        <v>0</v>
      </c>
      <c r="Y51" s="175">
        <f t="shared" si="7"/>
        <v>0</v>
      </c>
      <c r="Z51" s="175">
        <f t="shared" si="8"/>
        <v>0</v>
      </c>
      <c r="AA51" s="172"/>
      <c r="AB51" s="175">
        <f t="shared" si="9"/>
        <v>0</v>
      </c>
      <c r="AC51" s="175">
        <f t="shared" si="10"/>
        <v>0</v>
      </c>
      <c r="AD51" s="175">
        <f t="shared" si="11"/>
        <v>0</v>
      </c>
      <c r="AF51" s="175">
        <v>21</v>
      </c>
      <c r="AG51" s="175">
        <f>G51*0.556689655172414</f>
        <v>0</v>
      </c>
      <c r="AH51" s="175">
        <f>G51*(1-0.556689655172414)</f>
        <v>0</v>
      </c>
      <c r="AI51" s="176" t="s">
        <v>80</v>
      </c>
      <c r="AN51" s="175">
        <f t="shared" si="12"/>
        <v>0</v>
      </c>
      <c r="AO51" s="175">
        <f t="shared" si="13"/>
        <v>0</v>
      </c>
      <c r="AP51" s="175">
        <f t="shared" si="14"/>
        <v>0</v>
      </c>
      <c r="AQ51" s="176" t="s">
        <v>387</v>
      </c>
      <c r="AR51" s="176" t="s">
        <v>362</v>
      </c>
      <c r="AS51" s="172" t="s">
        <v>355</v>
      </c>
      <c r="AU51" s="175">
        <f t="shared" si="15"/>
        <v>0</v>
      </c>
      <c r="AV51" s="175">
        <f t="shared" si="16"/>
        <v>0</v>
      </c>
      <c r="AW51" s="175">
        <v>0</v>
      </c>
      <c r="AX51" s="175">
        <f t="shared" si="17"/>
        <v>0.01505</v>
      </c>
      <c r="AZ51" s="175">
        <f t="shared" si="18"/>
        <v>0</v>
      </c>
      <c r="BA51" s="175">
        <f t="shared" si="19"/>
        <v>0</v>
      </c>
      <c r="BB51" s="175">
        <f t="shared" si="20"/>
        <v>0</v>
      </c>
    </row>
    <row r="52" spans="1:39" ht="12">
      <c r="A52" s="177"/>
      <c r="B52" s="178"/>
      <c r="C52" s="178"/>
      <c r="D52" s="178" t="s">
        <v>439</v>
      </c>
      <c r="E52" s="177" t="s">
        <v>20</v>
      </c>
      <c r="F52" s="177" t="s">
        <v>20</v>
      </c>
      <c r="G52" s="177" t="s">
        <v>20</v>
      </c>
      <c r="H52" s="173">
        <f>SUM(H53:H54)</f>
        <v>0</v>
      </c>
      <c r="I52" s="173">
        <f>SUM(I53:I54)</f>
        <v>0</v>
      </c>
      <c r="J52" s="173">
        <f>SUM(J53:J54)</f>
        <v>0</v>
      </c>
      <c r="K52" s="172"/>
      <c r="L52" s="173">
        <f>SUM(L53:L54)</f>
        <v>0.0519</v>
      </c>
      <c r="M52" s="172"/>
      <c r="AA52" s="172"/>
      <c r="AK52" s="173">
        <f>SUM(AB53:AB54)</f>
        <v>0</v>
      </c>
      <c r="AL52" s="173">
        <f>SUM(AC53:AC54)</f>
        <v>0</v>
      </c>
      <c r="AM52" s="173">
        <f>SUM(AD53:AD54)</f>
        <v>0</v>
      </c>
    </row>
    <row r="53" spans="1:54" ht="12">
      <c r="A53" s="174" t="s">
        <v>314</v>
      </c>
      <c r="B53" s="174"/>
      <c r="C53" s="174" t="s">
        <v>440</v>
      </c>
      <c r="D53" s="174" t="s">
        <v>441</v>
      </c>
      <c r="E53" s="174" t="s">
        <v>268</v>
      </c>
      <c r="F53" s="175">
        <v>15</v>
      </c>
      <c r="G53" s="175">
        <v>0</v>
      </c>
      <c r="H53" s="175">
        <f>F53*AG53</f>
        <v>0</v>
      </c>
      <c r="I53" s="175"/>
      <c r="J53" s="175">
        <f>F53*G53</f>
        <v>0</v>
      </c>
      <c r="K53" s="175">
        <v>0.0017</v>
      </c>
      <c r="L53" s="175">
        <f>F53*K53</f>
        <v>0.0255</v>
      </c>
      <c r="M53" s="176" t="s">
        <v>354</v>
      </c>
      <c r="V53" s="175">
        <f>IF(AI53="7",AZ53,0)</f>
        <v>0</v>
      </c>
      <c r="W53" s="175">
        <f>IF(AI53="7",BA53,0)</f>
        <v>0</v>
      </c>
      <c r="X53" s="175">
        <f>IF(AI53="2",AZ53,0)</f>
        <v>0</v>
      </c>
      <c r="Y53" s="175">
        <f>IF(AI53="2",BA53,0)</f>
        <v>0</v>
      </c>
      <c r="Z53" s="175">
        <f>IF(AI53="0",BB53,0)</f>
        <v>0</v>
      </c>
      <c r="AA53" s="172"/>
      <c r="AB53" s="175">
        <f>IF(AF53=0,J53,0)</f>
        <v>0</v>
      </c>
      <c r="AC53" s="175">
        <f>IF(AF53=15,J53,0)</f>
        <v>0</v>
      </c>
      <c r="AD53" s="175">
        <f>IF(AF53=21,J53,0)</f>
        <v>0</v>
      </c>
      <c r="AF53" s="175">
        <v>21</v>
      </c>
      <c r="AG53" s="175">
        <f>G53*1</f>
        <v>0</v>
      </c>
      <c r="AH53" s="175">
        <f>G53*(1-1)</f>
        <v>0</v>
      </c>
      <c r="AI53" s="176" t="s">
        <v>72</v>
      </c>
      <c r="AN53" s="175">
        <f>AO53+AP53</f>
        <v>0</v>
      </c>
      <c r="AO53" s="175">
        <f>F53*AG53</f>
        <v>0</v>
      </c>
      <c r="AP53" s="175">
        <f>F53*AH53</f>
        <v>0</v>
      </c>
      <c r="AQ53" s="176" t="s">
        <v>442</v>
      </c>
      <c r="AR53" s="176" t="s">
        <v>443</v>
      </c>
      <c r="AS53" s="172" t="s">
        <v>355</v>
      </c>
      <c r="AU53" s="175">
        <f>AO53+AP53</f>
        <v>0</v>
      </c>
      <c r="AV53" s="175">
        <f>G53/(100-AW53)*100</f>
        <v>0</v>
      </c>
      <c r="AW53" s="175">
        <v>0</v>
      </c>
      <c r="AX53" s="175">
        <f>L53</f>
        <v>0.0255</v>
      </c>
      <c r="AZ53" s="175">
        <f>F53*AG53</f>
        <v>0</v>
      </c>
      <c r="BA53" s="175">
        <f>F53*AH53</f>
        <v>0</v>
      </c>
      <c r="BB53" s="175">
        <f>F53*G53</f>
        <v>0</v>
      </c>
    </row>
    <row r="54" spans="1:54" ht="12">
      <c r="A54" s="179" t="s">
        <v>296</v>
      </c>
      <c r="B54" s="179"/>
      <c r="C54" s="179" t="s">
        <v>444</v>
      </c>
      <c r="D54" s="179" t="s">
        <v>445</v>
      </c>
      <c r="E54" s="179" t="s">
        <v>268</v>
      </c>
      <c r="F54" s="180">
        <v>8</v>
      </c>
      <c r="G54" s="180">
        <v>0</v>
      </c>
      <c r="H54" s="180">
        <f>F54*AG54</f>
        <v>0</v>
      </c>
      <c r="I54" s="180">
        <f>F54*AH54</f>
        <v>0</v>
      </c>
      <c r="J54" s="180">
        <f>F54*G54</f>
        <v>0</v>
      </c>
      <c r="K54" s="180">
        <v>0.0033</v>
      </c>
      <c r="L54" s="180">
        <f>F54*K54</f>
        <v>0.0264</v>
      </c>
      <c r="M54" s="181" t="s">
        <v>354</v>
      </c>
      <c r="V54" s="175">
        <f>IF(AI54="7",AZ54,0)</f>
        <v>0</v>
      </c>
      <c r="W54" s="175">
        <f>IF(AI54="7",BA54,0)</f>
        <v>0</v>
      </c>
      <c r="X54" s="175">
        <f>IF(AI54="2",AZ54,0)</f>
        <v>0</v>
      </c>
      <c r="Y54" s="175">
        <f>IF(AI54="2",BA54,0)</f>
        <v>0</v>
      </c>
      <c r="Z54" s="175">
        <f>IF(AI54="0",BB54,0)</f>
        <v>0</v>
      </c>
      <c r="AA54" s="172"/>
      <c r="AB54" s="175">
        <f>IF(AF54=0,J54,0)</f>
        <v>0</v>
      </c>
      <c r="AC54" s="175">
        <f>IF(AF54=15,J54,0)</f>
        <v>0</v>
      </c>
      <c r="AD54" s="175">
        <f>IF(AF54=21,J54,0)</f>
        <v>0</v>
      </c>
      <c r="AF54" s="175">
        <v>21</v>
      </c>
      <c r="AG54" s="175">
        <f>G54*1</f>
        <v>0</v>
      </c>
      <c r="AH54" s="175">
        <f>G54*(1-1)</f>
        <v>0</v>
      </c>
      <c r="AI54" s="176" t="s">
        <v>72</v>
      </c>
      <c r="AN54" s="175">
        <f>AO54+AP54</f>
        <v>0</v>
      </c>
      <c r="AO54" s="175">
        <f>F54*AG54</f>
        <v>0</v>
      </c>
      <c r="AP54" s="175">
        <f>F54*AH54</f>
        <v>0</v>
      </c>
      <c r="AQ54" s="176" t="s">
        <v>442</v>
      </c>
      <c r="AR54" s="176" t="s">
        <v>443</v>
      </c>
      <c r="AS54" s="172" t="s">
        <v>355</v>
      </c>
      <c r="AU54" s="175">
        <f>AO54+AP54</f>
        <v>0</v>
      </c>
      <c r="AV54" s="175">
        <f>G54/(100-AW54)*100</f>
        <v>0</v>
      </c>
      <c r="AW54" s="175">
        <v>0</v>
      </c>
      <c r="AX54" s="175">
        <f>L54</f>
        <v>0.0264</v>
      </c>
      <c r="AZ54" s="175">
        <f>F54*AG54</f>
        <v>0</v>
      </c>
      <c r="BA54" s="175">
        <f>F54*AH54</f>
        <v>0</v>
      </c>
      <c r="BB54" s="175">
        <f>F54*G54</f>
        <v>0</v>
      </c>
    </row>
    <row r="55" spans="1:13" ht="12">
      <c r="A55" s="182"/>
      <c r="B55" s="182"/>
      <c r="C55" s="182"/>
      <c r="D55" s="182"/>
      <c r="E55" s="182"/>
      <c r="F55" s="182"/>
      <c r="G55" s="182"/>
      <c r="H55" s="233" t="s">
        <v>446</v>
      </c>
      <c r="I55" s="233"/>
      <c r="J55" s="183">
        <f>J12+J17+J22+J24+J52</f>
        <v>0</v>
      </c>
      <c r="K55" s="182"/>
      <c r="L55" s="182"/>
      <c r="M55" s="182"/>
    </row>
    <row r="56" ht="12">
      <c r="A56" s="184" t="s">
        <v>31</v>
      </c>
    </row>
    <row r="57" spans="1:13" ht="12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</row>
  </sheetData>
  <mergeCells count="29">
    <mergeCell ref="A1:M1"/>
    <mergeCell ref="A2:C3"/>
    <mergeCell ref="D2:D3"/>
    <mergeCell ref="E2:F3"/>
    <mergeCell ref="G2:G3"/>
    <mergeCell ref="H2:H3"/>
    <mergeCell ref="I2:M3"/>
    <mergeCell ref="I6:M7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H10:J10"/>
    <mergeCell ref="K10:L10"/>
    <mergeCell ref="H55:I55"/>
    <mergeCell ref="A57:M57"/>
    <mergeCell ref="A8:C9"/>
    <mergeCell ref="D8:D9"/>
    <mergeCell ref="E8:F9"/>
    <mergeCell ref="G8:G9"/>
    <mergeCell ref="H8:H9"/>
    <mergeCell ref="I8:M9"/>
  </mergeCells>
  <printOptions/>
  <pageMargins left="0.11811023622047245" right="0.15748031496062992" top="0.7874015748031497" bottom="0.7874015748031497" header="0.31496062992125984" footer="0.31496062992125984"/>
  <pageSetup fitToHeight="2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2020-07-03T08:21:04Z</dcterms:created>
  <dcterms:modified xsi:type="dcterms:W3CDTF">2020-07-03T09:47:28Z</dcterms:modified>
  <cp:category/>
  <cp:version/>
  <cp:contentType/>
  <cp:contentStatus/>
</cp:coreProperties>
</file>