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59" windowHeight="5488" activeTab="3"/>
  </bookViews>
  <sheets>
    <sheet name="Krycí list rozpočtu" sheetId="1" r:id="rId1"/>
    <sheet name="VORN" sheetId="2" r:id="rId2"/>
    <sheet name="Stavební rozpočet - součet" sheetId="3" r:id="rId3"/>
    <sheet name="Stavební rozpočet" sheetId="4" r:id="rId4"/>
  </sheets>
  <definedNames>
    <definedName name="vorn_sum">'VORN'!$I$38:$I$38</definedName>
  </definedNames>
  <calcPr fullCalcOnLoad="1"/>
</workbook>
</file>

<file path=xl/sharedStrings.xml><?xml version="1.0" encoding="utf-8"?>
<sst xmlns="http://schemas.openxmlformats.org/spreadsheetml/2006/main" count="486" uniqueCount="241">
  <si>
    <t>Slepý stavební rozpočet - rekapitulace</t>
  </si>
  <si>
    <t>Název stavby:</t>
  </si>
  <si>
    <t>Druh stavby:</t>
  </si>
  <si>
    <t>Lokalita:</t>
  </si>
  <si>
    <t>Zpracoval:</t>
  </si>
  <si>
    <t>Objekt</t>
  </si>
  <si>
    <t>Kód</t>
  </si>
  <si>
    <t>27</t>
  </si>
  <si>
    <t>63</t>
  </si>
  <si>
    <t>783</t>
  </si>
  <si>
    <t>90</t>
  </si>
  <si>
    <t>INS</t>
  </si>
  <si>
    <t>P</t>
  </si>
  <si>
    <t>Zkrácený popis</t>
  </si>
  <si>
    <t>Úprava povrchů stěn - vnitřní</t>
  </si>
  <si>
    <t>Podlahy a podlahové konstrukce</t>
  </si>
  <si>
    <t>Nátěry</t>
  </si>
  <si>
    <t>Hodinové zúčtovací sazby (HZS)</t>
  </si>
  <si>
    <t>Instalace</t>
  </si>
  <si>
    <t>Přemístění a přesuny suti, hmot a zemin, skládky</t>
  </si>
  <si>
    <t>Objednatel:</t>
  </si>
  <si>
    <t>Projektant:</t>
  </si>
  <si>
    <t>Zhotovitel:</t>
  </si>
  <si>
    <t>Zpracováno dne:</t>
  </si>
  <si>
    <t>Celkem:</t>
  </si>
  <si>
    <t>Náklady (Kč) - celkem</t>
  </si>
  <si>
    <t>T</t>
  </si>
  <si>
    <t>Začátek výstavby: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</si>
  <si>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</si>
  <si>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</si>
  <si>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</si>
  <si>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</si>
  <si>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</si>
  <si>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</si>
  <si>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</si>
  <si>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</si>
  <si>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</si>
  <si>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</si>
  <si>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</si>
  <si>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</si>
  <si>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</si>
  <si>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</si>
  <si>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</si>
  <si>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</si>
  <si>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</si>
  <si>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</si>
  <si>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</si>
  <si>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</si>
  <si>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</si>
  <si>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</si>
  <si>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</si>
  <si>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</si>
  <si>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</si>
  <si>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</si>
  <si>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</si>
  <si>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</si>
  <si>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Konec výstavby: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</si>
  <si>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</si>
  <si>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</si>
  <si>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</si>
  <si>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</si>
  <si>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</si>
  <si>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</si>
  <si>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</si>
  <si>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</si>
  <si>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</si>
  <si>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</si>
  <si>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</si>
  <si>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</si>
  <si>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</si>
  <si>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</si>
  <si>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</si>
  <si>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</si>
  <si>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</si>
  <si>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</si>
  <si>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</si>
  <si>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24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</si>
  <si>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</si>
  <si>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</si>
  <si>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</si>
  <si>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</si>
  <si>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</si>
  <si>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</si>
  <si>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</si>
  <si>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Zábor chodníku</t>
  </si>
  <si>
    <t>Úklidové práce</t>
  </si>
  <si>
    <t>Náklady na projednání stavby</t>
  </si>
  <si>
    <t>Celkem ORN</t>
  </si>
  <si>
    <t>Vedlejší a ostatní rozpočtové náklady</t>
  </si>
  <si>
    <t>Kč</t>
  </si>
  <si>
    <t>%</t>
  </si>
  <si>
    <t>Základna</t>
  </si>
  <si>
    <t>Slepý stavební rozpočet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</si>
  <si>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</si>
  <si>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</si>
  <si>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</si>
  <si>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</si>
  <si>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</si>
  <si>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</si>
  <si>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</si>
  <si>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</si>
  <si>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</si>
  <si>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</si>
  <si>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</si>
  <si>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</si>
  <si>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</si>
  <si>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</si>
  <si>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</si>
  <si>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</si>
  <si>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</si>
  <si>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</si>
  <si>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</si>
  <si>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</si>
  <si>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</si>
  <si>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</si>
  <si>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</si>
  <si>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</si>
  <si>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</si>
  <si>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007PALVD</t>
  </si>
  <si>
    <t>783893383R01</t>
  </si>
  <si>
    <t>RLP011</t>
  </si>
  <si>
    <t>RTS komentář:</t>
  </si>
  <si>
    <t>RLP021</t>
  </si>
  <si>
    <t>711212002RT2</t>
  </si>
  <si>
    <t>RLP012</t>
  </si>
  <si>
    <t>602011174R00</t>
  </si>
  <si>
    <t>784142113R00</t>
  </si>
  <si>
    <t>627451641RT4</t>
  </si>
  <si>
    <t>783893383R00</t>
  </si>
  <si>
    <t>612420016RAA</t>
  </si>
  <si>
    <t>0006PALVD</t>
  </si>
  <si>
    <t>776520110RAE</t>
  </si>
  <si>
    <t>625907111R00</t>
  </si>
  <si>
    <t>783222100R00</t>
  </si>
  <si>
    <t>909      R00</t>
  </si>
  <si>
    <t>735494811R00</t>
  </si>
  <si>
    <t>735111810R00</t>
  </si>
  <si>
    <t>735119140R00</t>
  </si>
  <si>
    <t>731191945R00</t>
  </si>
  <si>
    <t>767584811R00</t>
  </si>
  <si>
    <t>008PALVD</t>
  </si>
  <si>
    <t>998011001R00</t>
  </si>
  <si>
    <t>ZŠ Palackého 68</t>
  </si>
  <si>
    <t>sanace vlhkého zdiva</t>
  </si>
  <si>
    <t>Brno - Královo Pole</t>
  </si>
  <si>
    <t>Zkrácený popis / Varianta</t>
  </si>
  <si>
    <t>Rozměry</t>
  </si>
  <si>
    <t>Dosoušení zdiva mikrovlnnou metodou</t>
  </si>
  <si>
    <t>Na základě kontrolního měření vlhkosti zdiva před zahájením omítkářských prací v interiéru 1.PP. snížení vlhkosti na max. 7,5%</t>
  </si>
  <si>
    <t>Nástřik/nátěr zdiva proti zvýšené salinitě podkladu</t>
  </si>
  <si>
    <t>Omítka sanační podkladní, ručně</t>
  </si>
  <si>
    <t>tloušťka vrstvy 30 mm</t>
  </si>
  <si>
    <t>Omítka ze suché směsi. Položka je kalkulována jako jedna z vrstev omítkové skladby. Položky za jednotlivé požadované vrstvy se sčítají.</t>
  </si>
  <si>
    <t>Hydroizolační povlak - difúzně propustná sulfátostálá stěrka</t>
  </si>
  <si>
    <t>Difúzně propustná sulfátostálá stěrka</t>
  </si>
  <si>
    <t>Hydroizolační povlak - tříkomponentní minerální hydroizolační souvrství</t>
  </si>
  <si>
    <t>mineralizující hydroizolační souvrství  pro hydroizolaci svislých stěn proti vlhkostnímu namáhání z negativní strany, prováděno ve čtyřech krocích</t>
  </si>
  <si>
    <t>Omítka sanační, ručně</t>
  </si>
  <si>
    <t>tloušťka vrstvy 25 mm</t>
  </si>
  <si>
    <t>Omítka ze suché směsi, s tepelně izolačními vlastnostmi. Položka je kalkulována jako jedna z vrstev omítkové skladby. Položky za jednotlivé požadované vrstvy se sčítají.</t>
  </si>
  <si>
    <t>Štuk na stěnách, tl. 3 mm, ručně</t>
  </si>
  <si>
    <t>Skladby sanačních omítkových souvrství v interiéru</t>
  </si>
  <si>
    <t>Malba prodyšná, bílá, bez penetrace 2 x</t>
  </si>
  <si>
    <t>plochy opatřené sanačními omítkami. Pro barevné sjednocení  provést kompletní výmalbu prostor 1.PP a průchodu v 1.NP</t>
  </si>
  <si>
    <t>Disperzní vápenná interiérová malířská barva vhodná na sanační omítky, ředitelná vodou, s mimořádnou prodyšností</t>
  </si>
  <si>
    <t>Malba termoreflexní</t>
  </si>
  <si>
    <t>- zabránění kondenzace vodních par na zdivu v suterénu a následnému rozvoji plísní
- předpoklad svislé zděné konstrukce a klenby v místnosti 003 Klubovan a v chodbě 005 včetně schodiště do 1.NP</t>
  </si>
  <si>
    <t>Vylehčený, pružný ochranný nátěr na bázi stabilní minerální vodné disperze s přídavkem dutých sférických plniv a speciálních aditiv výrazně omezujících povrchovou kondenzaci vodní páry. Provádění ve dvou vrstvách, celková spotřeba 1,2l/m2, což odpovídá tloušťce finální vrstvy 1mm.</t>
  </si>
  <si>
    <t>Oprava spárování cihelného zdiva stěn, pl. do 40 %</t>
  </si>
  <si>
    <t>vyspravení spár v 1.PP sanační maltou, v případě zachování režného zdiva
- skladba SI1</t>
  </si>
  <si>
    <t>Šířka spáry 10 mm a hloubka 20 mm</t>
  </si>
  <si>
    <t>Nátěr sanační režného zdiva proti sprašování a drolení.</t>
  </si>
  <si>
    <t>- skladba SI1</t>
  </si>
  <si>
    <t>Omítka stěn vnitřní vápenocementová štuková</t>
  </si>
  <si>
    <t>montáž a demontáž pomocného lešení
- omítka nově vyzděných příček</t>
  </si>
  <si>
    <t>Vysoušení kondenzačními vysoušeči</t>
  </si>
  <si>
    <t>použití 2 ks vysoušečů</t>
  </si>
  <si>
    <t>Podlaha povlaková z PVC pásů, soklík, stěrka</t>
  </si>
  <si>
    <t>podlahovina zátěžová, oblast použítí 34-42</t>
  </si>
  <si>
    <t>oblast použítí 34 - komerční výstavba, velmi vysoká zátěž oblast použítí 42 - lehký průmysl, střední zátě</t>
  </si>
  <si>
    <t>Očištění ocel.konstrukcí od usazenin, rzi a nátěru</t>
  </si>
  <si>
    <t>očištění stávajících ocelových konstrukcí před aplikací protikorozního nátěru
- zárubně v jižní části 1.PP
- revizní skříně instalací
- trubky ústředního topení v jižní části 1.PP
- předpoklad</t>
  </si>
  <si>
    <t>Nátěr syntetický kovových konstrukcí dvojnásobný</t>
  </si>
  <si>
    <t>- zárubně v jižní části 1.PP
- revizní skříně instalací
- trubky ústředního topení v jižní části 1.PP
- předpoklad</t>
  </si>
  <si>
    <t>Hzs-nezmeritelne stavebni prace</t>
  </si>
  <si>
    <t>sanační detaily</t>
  </si>
  <si>
    <t>Vypuštění vody z otopných těles</t>
  </si>
  <si>
    <t>Demontáž těles otopných litinových článkových</t>
  </si>
  <si>
    <t>Montáž těles otopných litinových článkových</t>
  </si>
  <si>
    <t>Napuštění kotle po opravě do 100 m2</t>
  </si>
  <si>
    <t>náklady na znovuzprovoznění otopné sousatvy</t>
  </si>
  <si>
    <t>Demontáž a zpětná montáž prvků vzduchotechniky</t>
  </si>
  <si>
    <t>Demontáž před provedením opravy omítek, zpětná montáž po ukončení prací</t>
  </si>
  <si>
    <t>Demontáž a zpětná montáž zásuvek, vypínačů, prvků osvětlení</t>
  </si>
  <si>
    <t>Přesun hmot pro budovy zděné výšky do 6 m</t>
  </si>
  <si>
    <t>Doba výstavby:</t>
  </si>
  <si>
    <t>62 dní</t>
  </si>
  <si>
    <t>31.08.2023</t>
  </si>
  <si>
    <t>27.01.2022</t>
  </si>
  <si>
    <t> </t>
  </si>
  <si>
    <t>SAREP PROJEKTY s.r.o.</t>
  </si>
  <si>
    <t>Ing. Lucie Pilařová</t>
  </si>
  <si>
    <t>MJ</t>
  </si>
  <si>
    <t>m3</t>
  </si>
  <si>
    <t>m2</t>
  </si>
  <si>
    <t>den</t>
  </si>
  <si>
    <t>h</t>
  </si>
  <si>
    <t>kus</t>
  </si>
  <si>
    <t>soubor</t>
  </si>
  <si>
    <t>kpl</t>
  </si>
  <si>
    <t>t</t>
  </si>
  <si>
    <t>Množství</t>
  </si>
  <si>
    <t>Cena/MJ</t>
  </si>
  <si>
    <t>(Kč)</t>
  </si>
  <si>
    <t>Náklady (Kč)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</si>
  <si>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</si>
  <si>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</si>
  <si>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</si>
  <si>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</si>
  <si>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</si>
  <si>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</si>
  <si>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</si>
  <si>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</si>
  <si>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</si>
  <si>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</si>
  <si>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27_</t>
  </si>
  <si>
    <t>63_</t>
  </si>
  <si>
    <t>783_</t>
  </si>
  <si>
    <t>90_</t>
  </si>
  <si>
    <t>INS_</t>
  </si>
  <si>
    <t>P_</t>
  </si>
  <si>
    <t>2_</t>
  </si>
  <si>
    <t>6_</t>
  </si>
  <si>
    <t>78_</t>
  </si>
  <si>
    <t>9_</t>
  </si>
  <si>
    <t>_</t>
  </si>
  <si>
    <t>MAT</t>
  </si>
  <si>
    <t>WORK</t>
  </si>
  <si>
    <t>CELK</t>
  </si>
  <si>
    <t>ISWORK</t>
  </si>
  <si>
    <t>GROUPCODE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</si>
</sst>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b/>
      <sz val="10"/>
      <color indexed="56"/>
      <name val="Arial"/>
      <family val="2"/>
    </font>
    <font>
      <i/>
      <sz val="10"/>
      <color indexed="58"/>
      <name val="Arial"/>
      <family val="2"/>
    </font>
    <font>
      <i/>
      <sz val="10"/>
      <color indexed="59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thin"/>
      <top style="medium"/>
      <bottom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9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9" fontId="5" fillId="33" borderId="17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8" fillId="0" borderId="14" xfId="0" applyNumberFormat="1" applyFont="1" applyFill="1" applyBorder="1" applyAlignment="1" applyProtection="1">
      <alignment horizontal="left" vertical="center"/>
      <protection/>
    </xf>
    <xf numFmtId="49" fontId="7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7" fillId="0" borderId="17" xfId="0" applyNumberFormat="1" applyFont="1" applyFill="1" applyBorder="1" applyAlignment="1" applyProtection="1">
      <alignment horizontal="right" vertical="center"/>
      <protection/>
    </xf>
    <xf numFmtId="49" fontId="7" fillId="0" borderId="17" xfId="0" applyNumberFormat="1" applyFont="1" applyFill="1" applyBorder="1" applyAlignment="1" applyProtection="1">
      <alignment horizontal="right" vertical="center"/>
      <protection/>
    </xf>
    <xf numFmtId="4" fontId="7" fillId="0" borderId="24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6" fillId="33" borderId="28" xfId="0" applyNumberFormat="1" applyFont="1" applyFill="1" applyBorder="1" applyAlignment="1" applyProtection="1">
      <alignment horizontal="righ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9" fontId="3" fillId="0" borderId="3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4" fontId="1" fillId="0" borderId="24" xfId="0" applyNumberFormat="1" applyFont="1" applyFill="1" applyBorder="1" applyAlignment="1" applyProtection="1">
      <alignment horizontal="righ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9" fontId="11" fillId="0" borderId="12" xfId="0" applyNumberFormat="1" applyFont="1" applyFill="1" applyBorder="1" applyAlignment="1" applyProtection="1">
      <alignment horizontal="left" vertical="center"/>
      <protection/>
    </xf>
    <xf numFmtId="49" fontId="10" fillId="34" borderId="12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right" vertical="top"/>
      <protection/>
    </xf>
    <xf numFmtId="49" fontId="12" fillId="34" borderId="0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12" fillId="34" borderId="0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11" fillId="0" borderId="26" xfId="0" applyNumberFormat="1" applyFont="1" applyFill="1" applyBorder="1" applyAlignment="1" applyProtection="1">
      <alignment horizontal="right" vertical="center"/>
      <protection/>
    </xf>
    <xf numFmtId="4" fontId="12" fillId="34" borderId="26" xfId="0" applyNumberFormat="1" applyFont="1" applyFill="1" applyBorder="1" applyAlignment="1" applyProtection="1">
      <alignment horizontal="right" vertical="center"/>
      <protection/>
    </xf>
    <xf numFmtId="4" fontId="12" fillId="34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1" fillId="35" borderId="34" xfId="0" applyNumberFormat="1" applyFont="1" applyFill="1" applyBorder="1" applyAlignment="1" applyProtection="1">
      <alignment horizontal="left" vertical="center"/>
      <protection/>
    </xf>
    <xf numFmtId="4" fontId="11" fillId="35" borderId="34" xfId="0" applyNumberFormat="1" applyFont="1" applyFill="1" applyBorder="1" applyAlignment="1" applyProtection="1">
      <alignment horizontal="right" vertical="center"/>
      <protection/>
    </xf>
    <xf numFmtId="49" fontId="11" fillId="35" borderId="35" xfId="0" applyNumberFormat="1" applyFont="1" applyFill="1" applyBorder="1" applyAlignment="1" applyProtection="1">
      <alignment horizontal="left" vertical="center"/>
      <protection/>
    </xf>
    <xf numFmtId="4" fontId="11" fillId="35" borderId="35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49" fontId="11" fillId="35" borderId="37" xfId="0" applyNumberFormat="1" applyFont="1" applyFill="1" applyBorder="1" applyAlignment="1" applyProtection="1">
      <alignment horizontal="left" vertical="center"/>
      <protection/>
    </xf>
    <xf numFmtId="4" fontId="11" fillId="35" borderId="38" xfId="0" applyNumberFormat="1" applyFont="1" applyFill="1" applyBorder="1" applyAlignment="1" applyProtection="1">
      <alignment horizontal="right" vertical="center"/>
      <protection/>
    </xf>
    <xf numFmtId="49" fontId="11" fillId="35" borderId="39" xfId="0" applyNumberFormat="1" applyFont="1" applyFill="1" applyBorder="1" applyAlignment="1" applyProtection="1">
      <alignment horizontal="left" vertical="center"/>
      <protection/>
    </xf>
    <xf numFmtId="4" fontId="11" fillId="35" borderId="40" xfId="0" applyNumberFormat="1" applyFont="1" applyFill="1" applyBorder="1" applyAlignment="1" applyProtection="1">
      <alignment horizontal="right" vertical="center"/>
      <protection/>
    </xf>
    <xf numFmtId="49" fontId="11" fillId="35" borderId="41" xfId="0" applyNumberFormat="1" applyFont="1" applyFill="1" applyBorder="1" applyAlignment="1" applyProtection="1">
      <alignment horizontal="left" vertical="center"/>
      <protection/>
    </xf>
    <xf numFmtId="49" fontId="11" fillId="35" borderId="42" xfId="0" applyNumberFormat="1" applyFont="1" applyFill="1" applyBorder="1" applyAlignment="1" applyProtection="1">
      <alignment horizontal="left" vertical="center"/>
      <protection/>
    </xf>
    <xf numFmtId="4" fontId="11" fillId="35" borderId="42" xfId="0" applyNumberFormat="1" applyFont="1" applyFill="1" applyBorder="1" applyAlignment="1" applyProtection="1">
      <alignment horizontal="right" vertical="center"/>
      <protection/>
    </xf>
    <xf numFmtId="4" fontId="11" fillId="35" borderId="43" xfId="0" applyNumberFormat="1" applyFont="1" applyFill="1" applyBorder="1" applyAlignment="1" applyProtection="1">
      <alignment horizontal="right" vertical="center"/>
      <protection/>
    </xf>
    <xf numFmtId="4" fontId="11" fillId="10" borderId="0" xfId="0" applyNumberFormat="1" applyFont="1" applyFill="1" applyBorder="1" applyAlignment="1" applyProtection="1">
      <alignment horizontal="right" vertical="center"/>
      <protection/>
    </xf>
    <xf numFmtId="4" fontId="11" fillId="10" borderId="16" xfId="0" applyNumberFormat="1" applyFont="1" applyFill="1" applyBorder="1" applyAlignment="1" applyProtection="1">
      <alignment horizontal="righ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27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44" xfId="0" applyNumberFormat="1" applyFont="1" applyFill="1" applyBorder="1" applyAlignment="1" applyProtection="1">
      <alignment horizontal="left" vertical="center"/>
      <protection/>
    </xf>
    <xf numFmtId="49" fontId="7" fillId="0" borderId="45" xfId="0" applyNumberFormat="1" applyFont="1" applyFill="1" applyBorder="1" applyAlignment="1" applyProtection="1">
      <alignment horizontal="left" vertical="center"/>
      <protection/>
    </xf>
    <xf numFmtId="0" fontId="7" fillId="0" borderId="30" xfId="0" applyNumberFormat="1" applyFont="1" applyFill="1" applyBorder="1" applyAlignment="1" applyProtection="1">
      <alignment horizontal="left" vertical="center"/>
      <protection/>
    </xf>
    <xf numFmtId="0" fontId="7" fillId="0" borderId="46" xfId="0" applyNumberFormat="1" applyFont="1" applyFill="1" applyBorder="1" applyAlignment="1" applyProtection="1">
      <alignment horizontal="left" vertical="center"/>
      <protection/>
    </xf>
    <xf numFmtId="49" fontId="6" fillId="33" borderId="47" xfId="0" applyNumberFormat="1" applyFont="1" applyFill="1" applyBorder="1" applyAlignment="1" applyProtection="1">
      <alignment horizontal="left" vertical="center"/>
      <protection/>
    </xf>
    <xf numFmtId="0" fontId="6" fillId="33" borderId="48" xfId="0" applyNumberFormat="1" applyFont="1" applyFill="1" applyBorder="1" applyAlignment="1" applyProtection="1">
      <alignment horizontal="left" vertical="center"/>
      <protection/>
    </xf>
    <xf numFmtId="49" fontId="7" fillId="0" borderId="49" xfId="0" applyNumberFormat="1" applyFont="1" applyFill="1" applyBorder="1" applyAlignment="1" applyProtection="1">
      <alignment horizontal="left" vertical="center"/>
      <protection/>
    </xf>
    <xf numFmtId="0" fontId="7" fillId="0" borderId="14" xfId="0" applyNumberFormat="1" applyFont="1" applyFill="1" applyBorder="1" applyAlignment="1" applyProtection="1">
      <alignment horizontal="left" vertical="center"/>
      <protection/>
    </xf>
    <xf numFmtId="0" fontId="7" fillId="0" borderId="50" xfId="0" applyNumberFormat="1" applyFont="1" applyFill="1" applyBorder="1" applyAlignment="1" applyProtection="1">
      <alignment horizontal="left" vertical="center"/>
      <protection/>
    </xf>
    <xf numFmtId="49" fontId="6" fillId="0" borderId="47" xfId="0" applyNumberFormat="1" applyFont="1" applyFill="1" applyBorder="1" applyAlignment="1" applyProtection="1">
      <alignment horizontal="left" vertical="center"/>
      <protection/>
    </xf>
    <xf numFmtId="0" fontId="6" fillId="0" borderId="28" xfId="0" applyNumberFormat="1" applyFont="1" applyFill="1" applyBorder="1" applyAlignment="1" applyProtection="1">
      <alignment horizontal="left" vertical="center"/>
      <protection/>
    </xf>
    <xf numFmtId="49" fontId="7" fillId="0" borderId="47" xfId="0" applyNumberFormat="1" applyFont="1" applyFill="1" applyBorder="1" applyAlignment="1" applyProtection="1">
      <alignment horizontal="left" vertical="center"/>
      <protection/>
    </xf>
    <xf numFmtId="0" fontId="7" fillId="0" borderId="28" xfId="0" applyNumberFormat="1" applyFont="1" applyFill="1" applyBorder="1" applyAlignment="1" applyProtection="1">
      <alignment horizontal="left" vertical="center"/>
      <protection/>
    </xf>
    <xf numFmtId="49" fontId="4" fillId="0" borderId="48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Fill="1" applyBorder="1" applyAlignment="1" applyProtection="1">
      <alignment horizontal="left" vertical="center"/>
      <protection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5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52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53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54" xfId="0" applyNumberFormat="1" applyFont="1" applyFill="1" applyBorder="1" applyAlignment="1" applyProtection="1">
      <alignment horizontal="left" vertical="center"/>
      <protection/>
    </xf>
    <xf numFmtId="49" fontId="3" fillId="0" borderId="55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56" xfId="0" applyNumberFormat="1" applyFont="1" applyFill="1" applyBorder="1" applyAlignment="1" applyProtection="1">
      <alignment horizontal="left" vertical="center"/>
      <protection/>
    </xf>
    <xf numFmtId="49" fontId="6" fillId="0" borderId="55" xfId="0" applyNumberFormat="1" applyFont="1" applyFill="1" applyBorder="1" applyAlignment="1" applyProtection="1">
      <alignment horizontal="left" vertical="center"/>
      <protection/>
    </xf>
    <xf numFmtId="0" fontId="6" fillId="0" borderId="29" xfId="0" applyNumberFormat="1" applyFont="1" applyFill="1" applyBorder="1" applyAlignment="1" applyProtection="1">
      <alignment horizontal="left" vertical="center"/>
      <protection/>
    </xf>
    <xf numFmtId="0" fontId="6" fillId="0" borderId="56" xfId="0" applyNumberFormat="1" applyFont="1" applyFill="1" applyBorder="1" applyAlignment="1" applyProtection="1">
      <alignment horizontal="left" vertical="center"/>
      <protection/>
    </xf>
    <xf numFmtId="4" fontId="6" fillId="0" borderId="55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56" xfId="0" applyNumberFormat="1" applyFont="1" applyFill="1" applyBorder="1" applyAlignment="1" applyProtection="1">
      <alignment horizontal="right" vertical="center"/>
      <protection/>
    </xf>
    <xf numFmtId="49" fontId="6" fillId="0" borderId="30" xfId="0" applyNumberFormat="1" applyFont="1" applyFill="1" applyBorder="1" applyAlignment="1" applyProtection="1">
      <alignment horizontal="left" vertical="center"/>
      <protection/>
    </xf>
    <xf numFmtId="0" fontId="6" fillId="0" borderId="30" xfId="0" applyNumberFormat="1" applyFont="1" applyFill="1" applyBorder="1" applyAlignment="1" applyProtection="1">
      <alignment horizontal="left" vertical="center"/>
      <protection/>
    </xf>
    <xf numFmtId="49" fontId="3" fillId="0" borderId="57" xfId="0" applyNumberFormat="1" applyFont="1" applyFill="1" applyBorder="1" applyAlignment="1" applyProtection="1">
      <alignment horizontal="left" vertical="center"/>
      <protection/>
    </xf>
    <xf numFmtId="0" fontId="3" fillId="0" borderId="58" xfId="0" applyNumberFormat="1" applyFont="1" applyFill="1" applyBorder="1" applyAlignment="1" applyProtection="1">
      <alignment horizontal="left" vertical="center"/>
      <protection/>
    </xf>
    <xf numFmtId="0" fontId="3" fillId="0" borderId="59" xfId="0" applyNumberFormat="1" applyFont="1" applyFill="1" applyBorder="1" applyAlignment="1" applyProtection="1">
      <alignment horizontal="left" vertical="center"/>
      <protection/>
    </xf>
    <xf numFmtId="49" fontId="3" fillId="0" borderId="60" xfId="0" applyNumberFormat="1" applyFont="1" applyFill="1" applyBorder="1" applyAlignment="1" applyProtection="1">
      <alignment horizontal="left" vertical="center"/>
      <protection/>
    </xf>
    <xf numFmtId="0" fontId="3" fillId="0" borderId="61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62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63" xfId="0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12" fillId="34" borderId="0" xfId="0" applyNumberFormat="1" applyFont="1" applyFill="1" applyBorder="1" applyAlignment="1" applyProtection="1">
      <alignment horizontal="left" vertical="center"/>
      <protection/>
    </xf>
    <xf numFmtId="0" fontId="12" fillId="34" borderId="0" xfId="0" applyNumberFormat="1" applyFont="1" applyFill="1" applyBorder="1" applyAlignment="1" applyProtection="1">
      <alignment horizontal="left" vertical="center"/>
      <protection/>
    </xf>
    <xf numFmtId="49" fontId="11" fillId="35" borderId="64" xfId="0" applyNumberFormat="1" applyFont="1" applyFill="1" applyBorder="1" applyAlignment="1" applyProtection="1">
      <alignment horizontal="left" vertical="center"/>
      <protection/>
    </xf>
    <xf numFmtId="0" fontId="11" fillId="0" borderId="16" xfId="0" applyNumberFormat="1" applyFont="1" applyFill="1" applyBorder="1" applyAlignment="1" applyProtection="1">
      <alignment horizontal="left" vertical="center"/>
      <protection/>
    </xf>
    <xf numFmtId="0" fontId="11" fillId="0" borderId="42" xfId="0" applyNumberFormat="1" applyFont="1" applyFill="1" applyBorder="1" applyAlignment="1" applyProtection="1">
      <alignment horizontal="left" vertical="center"/>
      <protection/>
    </xf>
    <xf numFmtId="49" fontId="11" fillId="35" borderId="65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35" xfId="0" applyNumberFormat="1" applyFont="1" applyFill="1" applyBorder="1" applyAlignment="1" applyProtection="1">
      <alignment horizontal="left" vertical="center"/>
      <protection/>
    </xf>
    <xf numFmtId="49" fontId="11" fillId="35" borderId="66" xfId="0" applyNumberFormat="1" applyFont="1" applyFill="1" applyBorder="1" applyAlignment="1" applyProtection="1">
      <alignment horizontal="left" vertical="center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6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13" fillId="0" borderId="26" xfId="0" applyNumberFormat="1" applyFont="1" applyFill="1" applyBorder="1" applyAlignment="1" applyProtection="1">
      <alignment horizontal="left" vertical="top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51" xfId="0" applyNumberFormat="1" applyFont="1" applyFill="1" applyBorder="1" applyAlignment="1" applyProtection="1">
      <alignment horizontal="left"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281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28125" style="0" customWidth="1"/>
    <col min="8" max="8" width="12.8515625" style="0" customWidth="1"/>
    <col min="9" max="9" width="22.8515625" style="0" customWidth="1"/>
  </cols>
  <sheetData>
    <row r="1" spans="1:9" ht="72.75" customHeight="1">
      <c r="A1" s="63"/>
      <c r="B1" s="13"/>
      <c r="C1" s="107" t="s">
        <v>46</v>
      </c>
      <c r="D1" s="108"/>
      <c r="E1" s="108"/>
      <c r="F1" s="108"/>
      <c r="G1" s="108"/>
      <c r="H1" s="108"/>
      <c r="I1" s="108"/>
    </row>
    <row r="2" spans="1:10" ht="12" customHeight="1">
      <c r="A2" s="109" t="s">
        <v>1</v>
      </c>
      <c r="B2" s="110"/>
      <c r="C2" s="111" t="str">
        <f>'Stavební rozpočet'!C2</f>
        <v>ZŠ Palackého 68</v>
      </c>
      <c r="D2" s="112"/>
      <c r="E2" s="114" t="s">
        <v>20</v>
      </c>
      <c r="F2" s="114" t="str">
        <f>'Stavební rozpočet'!H2</f>
        <v> </v>
      </c>
      <c r="G2" s="110"/>
      <c r="H2" s="114" t="s">
        <v>72</v>
      </c>
      <c r="I2" s="115"/>
      <c r="J2" s="9"/>
    </row>
    <row r="3" spans="1:10" ht="13.5" customHeight="1">
      <c r="A3" s="104"/>
      <c r="B3" s="78"/>
      <c r="C3" s="113"/>
      <c r="D3" s="113"/>
      <c r="E3" s="78"/>
      <c r="F3" s="78"/>
      <c r="G3" s="78"/>
      <c r="H3" s="78"/>
      <c r="I3" s="106"/>
      <c r="J3" s="9"/>
    </row>
    <row r="4" spans="1:10" ht="12.75">
      <c r="A4" s="98" t="s">
        <v>2</v>
      </c>
      <c r="B4" s="78"/>
      <c r="C4" s="77" t="str">
        <f>'Stavební rozpočet'!C4</f>
        <v>sanace vlhkého zdiva</v>
      </c>
      <c r="D4" s="78"/>
      <c r="E4" s="77" t="s">
        <v>21</v>
      </c>
      <c r="F4" s="77" t="str">
        <f>'Stavební rozpočet'!H4</f>
        <v>SAREP PROJEKTY s.r.o.</v>
      </c>
      <c r="G4" s="78"/>
      <c r="H4" s="77" t="s">
        <v>72</v>
      </c>
      <c r="I4" s="105"/>
      <c r="J4" s="9"/>
    </row>
    <row r="5" spans="1:10" ht="12.75" customHeight="1">
      <c r="A5" s="104"/>
      <c r="B5" s="78"/>
      <c r="C5" s="78"/>
      <c r="D5" s="78"/>
      <c r="E5" s="78"/>
      <c r="F5" s="78"/>
      <c r="G5" s="78"/>
      <c r="H5" s="78"/>
      <c r="I5" s="106"/>
      <c r="J5" s="9"/>
    </row>
    <row r="6" spans="1:10" ht="12.75">
      <c r="A6" s="98" t="s">
        <v>3</v>
      </c>
      <c r="B6" s="78"/>
      <c r="C6" s="77" t="str">
        <f>'Stavební rozpočet'!C6</f>
        <v>Brno - Královo Pole</v>
      </c>
      <c r="D6" s="78"/>
      <c r="E6" s="77" t="s">
        <v>22</v>
      </c>
      <c r="F6" s="77" t="str">
        <f>'Stavební rozpočet'!H6</f>
        <v> </v>
      </c>
      <c r="G6" s="78"/>
      <c r="H6" s="77" t="s">
        <v>72</v>
      </c>
      <c r="I6" s="105"/>
      <c r="J6" s="9"/>
    </row>
    <row r="7" spans="1:10" ht="12.75" customHeight="1">
      <c r="A7" s="104"/>
      <c r="B7" s="78"/>
      <c r="C7" s="78"/>
      <c r="D7" s="78"/>
      <c r="E7" s="78"/>
      <c r="F7" s="78"/>
      <c r="G7" s="78"/>
      <c r="H7" s="78"/>
      <c r="I7" s="106"/>
      <c r="J7" s="9"/>
    </row>
    <row r="8" spans="1:10" ht="12.75">
      <c r="A8" s="98" t="s">
        <v>27</v>
      </c>
      <c r="B8" s="78"/>
      <c r="C8" s="77" t="str">
        <f>'Stavební rozpočet'!F4</f>
        <v> </v>
      </c>
      <c r="D8" s="78"/>
      <c r="E8" s="77" t="s">
        <v>56</v>
      </c>
      <c r="F8" s="77" t="str">
        <f>'Stavební rozpočet'!F6</f>
        <v>31.08.2023</v>
      </c>
      <c r="G8" s="78"/>
      <c r="H8" s="101" t="s">
        <v>73</v>
      </c>
      <c r="I8" s="105" t="s">
        <v>76</v>
      </c>
      <c r="J8" s="9"/>
    </row>
    <row r="9" spans="1:10" ht="12.75">
      <c r="A9" s="104"/>
      <c r="B9" s="78"/>
      <c r="C9" s="78"/>
      <c r="D9" s="78"/>
      <c r="E9" s="78"/>
      <c r="F9" s="78"/>
      <c r="G9" s="78"/>
      <c r="H9" s="78"/>
      <c r="I9" s="106"/>
      <c r="J9" s="9"/>
    </row>
    <row r="10" spans="1:10" ht="12.75">
      <c r="A10" s="98" t="s">
        <v>28</v>
      </c>
      <c r="B10" s="78"/>
      <c r="C10" s="77" t="str">
        <f>'Stavební rozpočet'!C8</f>
        <v> </v>
      </c>
      <c r="D10" s="78"/>
      <c r="E10" s="77" t="s">
        <v>4</v>
      </c>
      <c r="F10" s="77" t="str">
        <f>'Stavební rozpočet'!H8</f>
        <v>Ing. Lucie Pilařová</v>
      </c>
      <c r="G10" s="78"/>
      <c r="H10" s="101" t="s">
        <v>74</v>
      </c>
      <c r="I10" s="102" t="str">
        <f>'Stavební rozpočet'!F8</f>
        <v>27.01.2022</v>
      </c>
      <c r="J10" s="9"/>
    </row>
    <row r="11" spans="1:10" ht="12.75">
      <c r="A11" s="99"/>
      <c r="B11" s="100"/>
      <c r="C11" s="100"/>
      <c r="D11" s="100"/>
      <c r="E11" s="100"/>
      <c r="F11" s="100"/>
      <c r="G11" s="100"/>
      <c r="H11" s="100"/>
      <c r="I11" s="103"/>
      <c r="J11" s="9"/>
    </row>
    <row r="12" spans="1:9" ht="21.75" customHeight="1">
      <c r="A12" s="94" t="s">
        <v>29</v>
      </c>
      <c r="B12" s="95"/>
      <c r="C12" s="95"/>
      <c r="D12" s="95"/>
      <c r="E12" s="95"/>
      <c r="F12" s="95"/>
      <c r="G12" s="95"/>
      <c r="H12" s="95"/>
      <c r="I12" s="95"/>
    </row>
    <row r="13" spans="1:10" ht="26.25" customHeight="1">
      <c r="A13" s="14" t="s">
        <v>30</v>
      </c>
      <c r="B13" s="96" t="s">
        <v>43</v>
      </c>
      <c r="C13" s="97"/>
      <c r="D13" s="14" t="s">
        <v>47</v>
      </c>
      <c r="E13" s="96" t="s">
        <v>57</v>
      </c>
      <c r="F13" s="97"/>
      <c r="G13" s="14" t="s">
        <v>58</v>
      </c>
      <c r="H13" s="96" t="s">
        <v>75</v>
      </c>
      <c r="I13" s="97"/>
      <c r="J13" s="9"/>
    </row>
    <row r="14" spans="1:10" ht="14.25" customHeight="1">
      <c r="A14" s="15" t="s">
        <v>31</v>
      </c>
      <c r="B14" s="20" t="s">
        <v>44</v>
      </c>
      <c r="C14" s="24">
        <f>SUM('Stavební rozpočet'!AB12:AB65)</f>
        <v>0</v>
      </c>
      <c r="D14" s="92" t="s">
        <v>48</v>
      </c>
      <c r="E14" s="93"/>
      <c r="F14" s="24">
        <f>VORN!I15</f>
        <v>0</v>
      </c>
      <c r="G14" s="92" t="s">
        <v>59</v>
      </c>
      <c r="H14" s="93"/>
      <c r="I14" s="24">
        <f>VORN!I21</f>
        <v>0</v>
      </c>
      <c r="J14" s="9"/>
    </row>
    <row r="15" spans="1:10" ht="14.25" customHeight="1">
      <c r="A15" s="16"/>
      <c r="B15" s="20" t="s">
        <v>45</v>
      </c>
      <c r="C15" s="24">
        <f>SUM('Stavební rozpočet'!AC12:AC65)</f>
        <v>0</v>
      </c>
      <c r="D15" s="92" t="s">
        <v>49</v>
      </c>
      <c r="E15" s="93"/>
      <c r="F15" s="24">
        <f>VORN!I16</f>
        <v>0</v>
      </c>
      <c r="G15" s="92" t="s">
        <v>60</v>
      </c>
      <c r="H15" s="93"/>
      <c r="I15" s="24">
        <f>VORN!I22</f>
        <v>0</v>
      </c>
      <c r="J15" s="9"/>
    </row>
    <row r="16" spans="1:10" ht="14.25" customHeight="1">
      <c r="A16" s="15" t="s">
        <v>32</v>
      </c>
      <c r="B16" s="20" t="s">
        <v>44</v>
      </c>
      <c r="C16" s="24">
        <f>SUM('Stavební rozpočet'!AD12:AD65)</f>
        <v>0</v>
      </c>
      <c r="D16" s="92" t="s">
        <v>50</v>
      </c>
      <c r="E16" s="93"/>
      <c r="F16" s="24">
        <f>VORN!I17</f>
        <v>0</v>
      </c>
      <c r="G16" s="92" t="s">
        <v>61</v>
      </c>
      <c r="H16" s="93"/>
      <c r="I16" s="24">
        <f>VORN!I23</f>
        <v>0</v>
      </c>
      <c r="J16" s="9"/>
    </row>
    <row r="17" spans="1:10" ht="14.25" customHeight="1">
      <c r="A17" s="16"/>
      <c r="B17" s="20" t="s">
        <v>45</v>
      </c>
      <c r="C17" s="24">
        <f>SUM('Stavební rozpočet'!AE12:AE65)</f>
        <v>0</v>
      </c>
      <c r="D17" s="92"/>
      <c r="E17" s="93"/>
      <c r="F17" s="25"/>
      <c r="G17" s="92" t="s">
        <v>62</v>
      </c>
      <c r="H17" s="93"/>
      <c r="I17" s="24">
        <f>VORN!I24</f>
        <v>0</v>
      </c>
      <c r="J17" s="9"/>
    </row>
    <row r="18" spans="1:10" ht="14.25" customHeight="1">
      <c r="A18" s="15" t="s">
        <v>33</v>
      </c>
      <c r="B18" s="20" t="s">
        <v>44</v>
      </c>
      <c r="C18" s="24">
        <f>SUM('Stavební rozpočet'!AF12:AF65)</f>
        <v>0</v>
      </c>
      <c r="D18" s="92"/>
      <c r="E18" s="93"/>
      <c r="F18" s="25"/>
      <c r="G18" s="92" t="s">
        <v>63</v>
      </c>
      <c r="H18" s="93"/>
      <c r="I18" s="24">
        <f>VORN!I25</f>
        <v>0</v>
      </c>
      <c r="J18" s="9"/>
    </row>
    <row r="19" spans="1:10" ht="14.25" customHeight="1">
      <c r="A19" s="16"/>
      <c r="B19" s="20" t="s">
        <v>45</v>
      </c>
      <c r="C19" s="24">
        <f>SUM('Stavební rozpočet'!AG12:AG65)</f>
        <v>0</v>
      </c>
      <c r="D19" s="92"/>
      <c r="E19" s="93"/>
      <c r="F19" s="25"/>
      <c r="G19" s="92" t="s">
        <v>64</v>
      </c>
      <c r="H19" s="93"/>
      <c r="I19" s="24">
        <f>VORN!I26</f>
        <v>0</v>
      </c>
      <c r="J19" s="9"/>
    </row>
    <row r="20" spans="1:10" ht="14.25" customHeight="1">
      <c r="A20" s="90" t="s">
        <v>34</v>
      </c>
      <c r="B20" s="91"/>
      <c r="C20" s="24">
        <f>SUM('Stavební rozpočet'!AH12:AH65)</f>
        <v>0</v>
      </c>
      <c r="D20" s="92"/>
      <c r="E20" s="93"/>
      <c r="F20" s="25"/>
      <c r="G20" s="92"/>
      <c r="H20" s="93"/>
      <c r="I20" s="25"/>
      <c r="J20" s="9"/>
    </row>
    <row r="21" spans="1:10" ht="14.25" customHeight="1">
      <c r="A21" s="90" t="s">
        <v>35</v>
      </c>
      <c r="B21" s="91"/>
      <c r="C21" s="24">
        <f>SUM('Stavební rozpočet'!Z12:Z65)</f>
        <v>0</v>
      </c>
      <c r="D21" s="92"/>
      <c r="E21" s="93"/>
      <c r="F21" s="25"/>
      <c r="G21" s="92"/>
      <c r="H21" s="93"/>
      <c r="I21" s="25"/>
      <c r="J21" s="9"/>
    </row>
    <row r="22" spans="1:10" ht="16.5" customHeight="1">
      <c r="A22" s="90" t="s">
        <v>36</v>
      </c>
      <c r="B22" s="91"/>
      <c r="C22" s="24">
        <f>SUM(C14:C21)</f>
        <v>0</v>
      </c>
      <c r="D22" s="90" t="s">
        <v>51</v>
      </c>
      <c r="E22" s="91"/>
      <c r="F22" s="24">
        <f>SUM(F14:F21)</f>
        <v>0</v>
      </c>
      <c r="G22" s="90" t="s">
        <v>65</v>
      </c>
      <c r="H22" s="91"/>
      <c r="I22" s="24">
        <f>SUM(I14:I21)</f>
        <v>0</v>
      </c>
      <c r="J22" s="9"/>
    </row>
    <row r="23" spans="1:10" ht="14.25" customHeight="1">
      <c r="A23" s="17"/>
      <c r="B23" s="17"/>
      <c r="C23" s="22"/>
      <c r="D23" s="90" t="s">
        <v>52</v>
      </c>
      <c r="E23" s="91"/>
      <c r="F23" s="26">
        <v>0</v>
      </c>
      <c r="G23" s="90" t="s">
        <v>66</v>
      </c>
      <c r="H23" s="91"/>
      <c r="I23" s="24">
        <v>0</v>
      </c>
      <c r="J23" s="9"/>
    </row>
    <row r="24" spans="4:10" ht="14.25" customHeight="1">
      <c r="D24" s="17"/>
      <c r="E24" s="17"/>
      <c r="F24" s="27"/>
      <c r="G24" s="90" t="s">
        <v>67</v>
      </c>
      <c r="H24" s="91"/>
      <c r="I24" s="24">
        <f>vorn_sum</f>
        <v>0</v>
      </c>
      <c r="J24" s="9"/>
    </row>
    <row r="25" spans="6:10" ht="14.25" customHeight="1">
      <c r="F25" s="28"/>
      <c r="G25" s="90" t="s">
        <v>68</v>
      </c>
      <c r="H25" s="91"/>
      <c r="I25" s="24">
        <v>0</v>
      </c>
      <c r="J25" s="9"/>
    </row>
    <row r="26" spans="1:9" ht="12.75">
      <c r="A26" s="13"/>
      <c r="B26" s="13"/>
      <c r="C26" s="13"/>
      <c r="G26" s="17"/>
      <c r="H26" s="17"/>
      <c r="I26" s="17"/>
    </row>
    <row r="27" spans="1:9" ht="14.25" customHeight="1">
      <c r="A27" s="85" t="s">
        <v>37</v>
      </c>
      <c r="B27" s="86"/>
      <c r="C27" s="30">
        <f>SUM('Stavební rozpočet'!AJ12:AJ65)</f>
        <v>0</v>
      </c>
      <c r="D27" s="23"/>
      <c r="E27" s="13"/>
      <c r="F27" s="13"/>
      <c r="G27" s="13"/>
      <c r="H27" s="13"/>
      <c r="I27" s="13"/>
    </row>
    <row r="28" spans="1:10" ht="14.25" customHeight="1">
      <c r="A28" s="85" t="s">
        <v>38</v>
      </c>
      <c r="B28" s="86"/>
      <c r="C28" s="30">
        <f>SUM('Stavební rozpočet'!AK12:AK65)</f>
        <v>0</v>
      </c>
      <c r="D28" s="85" t="s">
        <v>53</v>
      </c>
      <c r="E28" s="86"/>
      <c r="F28" s="30">
        <f>ROUND(C28*(15/100),2)</f>
        <v>0</v>
      </c>
      <c r="G28" s="85" t="s">
        <v>69</v>
      </c>
      <c r="H28" s="86"/>
      <c r="I28" s="30">
        <f>SUM(C27:C29)</f>
        <v>0</v>
      </c>
      <c r="J28" s="9"/>
    </row>
    <row r="29" spans="1:10" ht="14.25" customHeight="1">
      <c r="A29" s="85" t="s">
        <v>39</v>
      </c>
      <c r="B29" s="86"/>
      <c r="C29" s="30">
        <f>SUM('Stavební rozpočet'!AL12:AL65)+(F22+I22+F23+I23+I24+I25)</f>
        <v>0</v>
      </c>
      <c r="D29" s="85" t="s">
        <v>54</v>
      </c>
      <c r="E29" s="86"/>
      <c r="F29" s="30">
        <f>ROUND(C29*(21/100),2)</f>
        <v>0</v>
      </c>
      <c r="G29" s="85" t="s">
        <v>70</v>
      </c>
      <c r="H29" s="86"/>
      <c r="I29" s="30">
        <f>SUM(F28:F29)+I28</f>
        <v>0</v>
      </c>
      <c r="J29" s="9"/>
    </row>
    <row r="30" spans="1:9" ht="12.75">
      <c r="A30" s="18"/>
      <c r="B30" s="18"/>
      <c r="C30" s="18"/>
      <c r="D30" s="18"/>
      <c r="E30" s="18"/>
      <c r="F30" s="18"/>
      <c r="G30" s="18"/>
      <c r="H30" s="18"/>
      <c r="I30" s="18"/>
    </row>
    <row r="31" spans="1:10" ht="14.25" customHeight="1">
      <c r="A31" s="87" t="s">
        <v>40</v>
      </c>
      <c r="B31" s="88"/>
      <c r="C31" s="89"/>
      <c r="D31" s="87" t="s">
        <v>55</v>
      </c>
      <c r="E31" s="88"/>
      <c r="F31" s="89"/>
      <c r="G31" s="87" t="s">
        <v>71</v>
      </c>
      <c r="H31" s="88"/>
      <c r="I31" s="89"/>
      <c r="J31" s="29"/>
    </row>
    <row r="32" spans="1:10" ht="14.25" customHeight="1">
      <c r="A32" s="79"/>
      <c r="B32" s="80"/>
      <c r="C32" s="81"/>
      <c r="D32" s="79"/>
      <c r="E32" s="80"/>
      <c r="F32" s="81"/>
      <c r="G32" s="79"/>
      <c r="H32" s="80"/>
      <c r="I32" s="81"/>
      <c r="J32" s="29"/>
    </row>
    <row r="33" spans="1:10" ht="14.25" customHeight="1">
      <c r="A33" s="79"/>
      <c r="B33" s="80"/>
      <c r="C33" s="81"/>
      <c r="D33" s="79"/>
      <c r="E33" s="80"/>
      <c r="F33" s="81"/>
      <c r="G33" s="79"/>
      <c r="H33" s="80"/>
      <c r="I33" s="81"/>
      <c r="J33" s="29"/>
    </row>
    <row r="34" spans="1:10" ht="14.25" customHeight="1">
      <c r="A34" s="79"/>
      <c r="B34" s="80"/>
      <c r="C34" s="81"/>
      <c r="D34" s="79"/>
      <c r="E34" s="80"/>
      <c r="F34" s="81"/>
      <c r="G34" s="79"/>
      <c r="H34" s="80"/>
      <c r="I34" s="81"/>
      <c r="J34" s="29"/>
    </row>
    <row r="35" spans="1:10" ht="14.25" customHeight="1">
      <c r="A35" s="82" t="s">
        <v>41</v>
      </c>
      <c r="B35" s="83"/>
      <c r="C35" s="84"/>
      <c r="D35" s="82" t="s">
        <v>41</v>
      </c>
      <c r="E35" s="83"/>
      <c r="F35" s="84"/>
      <c r="G35" s="82" t="s">
        <v>41</v>
      </c>
      <c r="H35" s="83"/>
      <c r="I35" s="84"/>
      <c r="J35" s="29"/>
    </row>
    <row r="36" spans="1:9" ht="9.75" customHeight="1">
      <c r="A36" s="19" t="s">
        <v>42</v>
      </c>
      <c r="B36" s="21"/>
      <c r="C36" s="21"/>
      <c r="D36" s="21"/>
      <c r="E36" s="21"/>
      <c r="F36" s="21"/>
      <c r="G36" s="21"/>
      <c r="H36" s="21"/>
      <c r="I36" s="21"/>
    </row>
    <row r="37" spans="1:9" ht="12.75" customHeight="1">
      <c r="A37" s="77"/>
      <c r="B37" s="78"/>
      <c r="C37" s="78"/>
      <c r="D37" s="78"/>
      <c r="E37" s="78"/>
      <c r="F37" s="78"/>
      <c r="G37" s="78"/>
      <c r="H37" s="78"/>
      <c r="I37" s="78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281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28125" style="0" customWidth="1"/>
    <col min="8" max="8" width="17.140625" style="0" customWidth="1"/>
    <col min="9" max="9" width="22.8515625" style="0" customWidth="1"/>
  </cols>
  <sheetData>
    <row r="1" spans="1:9" ht="72.75" customHeight="1">
      <c r="A1" s="63"/>
      <c r="B1" s="13"/>
      <c r="C1" s="107" t="s">
        <v>88</v>
      </c>
      <c r="D1" s="108"/>
      <c r="E1" s="108"/>
      <c r="F1" s="108"/>
      <c r="G1" s="108"/>
      <c r="H1" s="108"/>
      <c r="I1" s="108"/>
    </row>
    <row r="2" spans="1:10" ht="12" customHeight="1">
      <c r="A2" s="109" t="s">
        <v>1</v>
      </c>
      <c r="B2" s="110"/>
      <c r="C2" s="111" t="str">
        <f>'Stavební rozpočet'!C2</f>
        <v>ZŠ Palackého 68</v>
      </c>
      <c r="D2" s="112"/>
      <c r="E2" s="114" t="s">
        <v>20</v>
      </c>
      <c r="F2" s="114" t="str">
        <f>'Stavební rozpočet'!H2</f>
        <v> </v>
      </c>
      <c r="G2" s="110"/>
      <c r="H2" s="114" t="s">
        <v>72</v>
      </c>
      <c r="I2" s="115"/>
      <c r="J2" s="9"/>
    </row>
    <row r="3" spans="1:10" ht="13.5" customHeight="1">
      <c r="A3" s="104"/>
      <c r="B3" s="78"/>
      <c r="C3" s="113"/>
      <c r="D3" s="113"/>
      <c r="E3" s="78"/>
      <c r="F3" s="78"/>
      <c r="G3" s="78"/>
      <c r="H3" s="78"/>
      <c r="I3" s="106"/>
      <c r="J3" s="9"/>
    </row>
    <row r="4" spans="1:10" ht="12.75">
      <c r="A4" s="98" t="s">
        <v>2</v>
      </c>
      <c r="B4" s="78"/>
      <c r="C4" s="77" t="str">
        <f>'Stavební rozpočet'!C4</f>
        <v>sanace vlhkého zdiva</v>
      </c>
      <c r="D4" s="78"/>
      <c r="E4" s="77" t="s">
        <v>21</v>
      </c>
      <c r="F4" s="77" t="str">
        <f>'Stavební rozpočet'!H4</f>
        <v>SAREP PROJEKTY s.r.o.</v>
      </c>
      <c r="G4" s="78"/>
      <c r="H4" s="77" t="s">
        <v>72</v>
      </c>
      <c r="I4" s="105"/>
      <c r="J4" s="9"/>
    </row>
    <row r="5" spans="1:10" ht="12.75" customHeight="1">
      <c r="A5" s="104"/>
      <c r="B5" s="78"/>
      <c r="C5" s="78"/>
      <c r="D5" s="78"/>
      <c r="E5" s="78"/>
      <c r="F5" s="78"/>
      <c r="G5" s="78"/>
      <c r="H5" s="78"/>
      <c r="I5" s="106"/>
      <c r="J5" s="9"/>
    </row>
    <row r="6" spans="1:10" ht="12.75">
      <c r="A6" s="98" t="s">
        <v>3</v>
      </c>
      <c r="B6" s="78"/>
      <c r="C6" s="77" t="str">
        <f>'Stavební rozpočet'!C6</f>
        <v>Brno - Královo Pole</v>
      </c>
      <c r="D6" s="78"/>
      <c r="E6" s="77" t="s">
        <v>22</v>
      </c>
      <c r="F6" s="77" t="str">
        <f>'Stavební rozpočet'!H6</f>
        <v> </v>
      </c>
      <c r="G6" s="78"/>
      <c r="H6" s="77" t="s">
        <v>72</v>
      </c>
      <c r="I6" s="105"/>
      <c r="J6" s="9"/>
    </row>
    <row r="7" spans="1:10" ht="12.75" customHeight="1">
      <c r="A7" s="104"/>
      <c r="B7" s="78"/>
      <c r="C7" s="78"/>
      <c r="D7" s="78"/>
      <c r="E7" s="78"/>
      <c r="F7" s="78"/>
      <c r="G7" s="78"/>
      <c r="H7" s="78"/>
      <c r="I7" s="106"/>
      <c r="J7" s="9"/>
    </row>
    <row r="8" spans="1:10" ht="12.75">
      <c r="A8" s="98" t="s">
        <v>27</v>
      </c>
      <c r="B8" s="78"/>
      <c r="C8" s="77" t="str">
        <f>'Stavební rozpočet'!F4</f>
        <v> </v>
      </c>
      <c r="D8" s="78"/>
      <c r="E8" s="77" t="s">
        <v>56</v>
      </c>
      <c r="F8" s="77" t="str">
        <f>'Stavební rozpočet'!F6</f>
        <v>31.08.2023</v>
      </c>
      <c r="G8" s="78"/>
      <c r="H8" s="101" t="s">
        <v>73</v>
      </c>
      <c r="I8" s="105" t="s">
        <v>76</v>
      </c>
      <c r="J8" s="9"/>
    </row>
    <row r="9" spans="1:10" ht="12.75">
      <c r="A9" s="104"/>
      <c r="B9" s="78"/>
      <c r="C9" s="78"/>
      <c r="D9" s="78"/>
      <c r="E9" s="78"/>
      <c r="F9" s="78"/>
      <c r="G9" s="78"/>
      <c r="H9" s="78"/>
      <c r="I9" s="106"/>
      <c r="J9" s="9"/>
    </row>
    <row r="10" spans="1:10" ht="12.75">
      <c r="A10" s="98" t="s">
        <v>28</v>
      </c>
      <c r="B10" s="78"/>
      <c r="C10" s="77" t="str">
        <f>'Stavební rozpočet'!C8</f>
        <v> </v>
      </c>
      <c r="D10" s="78"/>
      <c r="E10" s="77" t="s">
        <v>4</v>
      </c>
      <c r="F10" s="77" t="str">
        <f>'Stavební rozpočet'!H8</f>
        <v>Ing. Lucie Pilařová</v>
      </c>
      <c r="G10" s="78"/>
      <c r="H10" s="101" t="s">
        <v>74</v>
      </c>
      <c r="I10" s="102" t="str">
        <f>'Stavební rozpočet'!F8</f>
        <v>27.01.2022</v>
      </c>
      <c r="J10" s="9"/>
    </row>
    <row r="11" spans="1:10" ht="12.75">
      <c r="A11" s="99"/>
      <c r="B11" s="100"/>
      <c r="C11" s="100"/>
      <c r="D11" s="100"/>
      <c r="E11" s="100"/>
      <c r="F11" s="100"/>
      <c r="G11" s="100"/>
      <c r="H11" s="100"/>
      <c r="I11" s="103"/>
      <c r="J11" s="9"/>
    </row>
    <row r="12" spans="1:9" ht="12.75">
      <c r="A12" s="17"/>
      <c r="B12" s="17"/>
      <c r="C12" s="17"/>
      <c r="D12" s="17"/>
      <c r="E12" s="17"/>
      <c r="F12" s="17"/>
      <c r="G12" s="17"/>
      <c r="H12" s="17"/>
      <c r="I12" s="17"/>
    </row>
    <row r="13" spans="1:9" ht="14.25" customHeight="1">
      <c r="A13" s="131" t="s">
        <v>77</v>
      </c>
      <c r="B13" s="132"/>
      <c r="C13" s="132"/>
      <c r="D13" s="132"/>
      <c r="E13" s="132"/>
      <c r="F13" s="32"/>
      <c r="G13" s="32"/>
      <c r="H13" s="32"/>
      <c r="I13" s="32"/>
    </row>
    <row r="14" spans="1:10" ht="12" customHeight="1">
      <c r="A14" s="133" t="s">
        <v>78</v>
      </c>
      <c r="B14" s="134"/>
      <c r="C14" s="134"/>
      <c r="D14" s="134"/>
      <c r="E14" s="135"/>
      <c r="F14" s="33" t="s">
        <v>89</v>
      </c>
      <c r="G14" s="33" t="s">
        <v>90</v>
      </c>
      <c r="H14" s="33" t="s">
        <v>91</v>
      </c>
      <c r="I14" s="33" t="s">
        <v>89</v>
      </c>
      <c r="J14" s="29"/>
    </row>
    <row r="15" spans="1:10" ht="12.75">
      <c r="A15" s="116" t="s">
        <v>48</v>
      </c>
      <c r="B15" s="117"/>
      <c r="C15" s="117"/>
      <c r="D15" s="117"/>
      <c r="E15" s="118"/>
      <c r="F15" s="34">
        <v>0</v>
      </c>
      <c r="G15" s="36"/>
      <c r="H15" s="36"/>
      <c r="I15" s="34">
        <f>F15</f>
        <v>0</v>
      </c>
      <c r="J15" s="9"/>
    </row>
    <row r="16" spans="1:10" ht="12.75">
      <c r="A16" s="116" t="s">
        <v>49</v>
      </c>
      <c r="B16" s="117"/>
      <c r="C16" s="117"/>
      <c r="D16" s="117"/>
      <c r="E16" s="118"/>
      <c r="F16" s="34">
        <v>0</v>
      </c>
      <c r="G16" s="36"/>
      <c r="H16" s="36"/>
      <c r="I16" s="34">
        <f>F16</f>
        <v>0</v>
      </c>
      <c r="J16" s="9"/>
    </row>
    <row r="17" spans="1:10" ht="12.75">
      <c r="A17" s="119" t="s">
        <v>50</v>
      </c>
      <c r="B17" s="120"/>
      <c r="C17" s="120"/>
      <c r="D17" s="120"/>
      <c r="E17" s="121"/>
      <c r="F17" s="35">
        <v>0</v>
      </c>
      <c r="G17" s="37"/>
      <c r="H17" s="37"/>
      <c r="I17" s="35">
        <f>F17</f>
        <v>0</v>
      </c>
      <c r="J17" s="9"/>
    </row>
    <row r="18" spans="1:10" ht="12" customHeight="1">
      <c r="A18" s="122" t="s">
        <v>79</v>
      </c>
      <c r="B18" s="123"/>
      <c r="C18" s="123"/>
      <c r="D18" s="123"/>
      <c r="E18" s="124"/>
      <c r="F18" s="1"/>
      <c r="G18" s="38"/>
      <c r="H18" s="38"/>
      <c r="I18" s="39">
        <f>SUM(I15:I17)</f>
        <v>0</v>
      </c>
      <c r="J18" s="29"/>
    </row>
    <row r="19" spans="1:9" ht="12.75">
      <c r="A19" s="31"/>
      <c r="B19" s="31"/>
      <c r="C19" s="31"/>
      <c r="D19" s="31"/>
      <c r="E19" s="31"/>
      <c r="F19" s="31"/>
      <c r="G19" s="31"/>
      <c r="H19" s="31"/>
      <c r="I19" s="31"/>
    </row>
    <row r="20" spans="1:10" ht="12" customHeight="1">
      <c r="A20" s="133" t="s">
        <v>75</v>
      </c>
      <c r="B20" s="134"/>
      <c r="C20" s="134"/>
      <c r="D20" s="134"/>
      <c r="E20" s="135"/>
      <c r="F20" s="33" t="s">
        <v>89</v>
      </c>
      <c r="G20" s="33" t="s">
        <v>90</v>
      </c>
      <c r="H20" s="33" t="s">
        <v>91</v>
      </c>
      <c r="I20" s="33" t="s">
        <v>89</v>
      </c>
      <c r="J20" s="29"/>
    </row>
    <row r="21" spans="1:10" ht="12.75">
      <c r="A21" s="116" t="s">
        <v>59</v>
      </c>
      <c r="B21" s="117"/>
      <c r="C21" s="117"/>
      <c r="D21" s="117"/>
      <c r="E21" s="118"/>
      <c r="F21" s="34">
        <v>0</v>
      </c>
      <c r="G21" s="36"/>
      <c r="H21" s="36"/>
      <c r="I21" s="34">
        <f aca="true" t="shared" si="0" ref="I21:I26">F21</f>
        <v>0</v>
      </c>
      <c r="J21" s="9"/>
    </row>
    <row r="22" spans="1:10" ht="12.75">
      <c r="A22" s="116" t="s">
        <v>60</v>
      </c>
      <c r="B22" s="117"/>
      <c r="C22" s="117"/>
      <c r="D22" s="117"/>
      <c r="E22" s="118"/>
      <c r="F22" s="34">
        <v>0</v>
      </c>
      <c r="G22" s="36"/>
      <c r="H22" s="36"/>
      <c r="I22" s="34">
        <f t="shared" si="0"/>
        <v>0</v>
      </c>
      <c r="J22" s="9"/>
    </row>
    <row r="23" spans="1:10" ht="12.75">
      <c r="A23" s="116" t="s">
        <v>61</v>
      </c>
      <c r="B23" s="117"/>
      <c r="C23" s="117"/>
      <c r="D23" s="117"/>
      <c r="E23" s="118"/>
      <c r="F23" s="34">
        <v>0</v>
      </c>
      <c r="G23" s="36"/>
      <c r="H23" s="36"/>
      <c r="I23" s="34">
        <f t="shared" si="0"/>
        <v>0</v>
      </c>
      <c r="J23" s="9"/>
    </row>
    <row r="24" spans="1:10" ht="12.75">
      <c r="A24" s="116" t="s">
        <v>62</v>
      </c>
      <c r="B24" s="117"/>
      <c r="C24" s="117"/>
      <c r="D24" s="117"/>
      <c r="E24" s="118"/>
      <c r="F24" s="34">
        <v>0</v>
      </c>
      <c r="G24" s="36"/>
      <c r="H24" s="36"/>
      <c r="I24" s="34">
        <f t="shared" si="0"/>
        <v>0</v>
      </c>
      <c r="J24" s="9"/>
    </row>
    <row r="25" spans="1:10" ht="12.75">
      <c r="A25" s="116" t="s">
        <v>63</v>
      </c>
      <c r="B25" s="117"/>
      <c r="C25" s="117"/>
      <c r="D25" s="117"/>
      <c r="E25" s="118"/>
      <c r="F25" s="34">
        <v>0</v>
      </c>
      <c r="G25" s="36"/>
      <c r="H25" s="36"/>
      <c r="I25" s="34">
        <f t="shared" si="0"/>
        <v>0</v>
      </c>
      <c r="J25" s="9"/>
    </row>
    <row r="26" spans="1:10" ht="12.75">
      <c r="A26" s="119" t="s">
        <v>64</v>
      </c>
      <c r="B26" s="120"/>
      <c r="C26" s="120"/>
      <c r="D26" s="120"/>
      <c r="E26" s="121"/>
      <c r="F26" s="35">
        <v>0</v>
      </c>
      <c r="G26" s="37"/>
      <c r="H26" s="37"/>
      <c r="I26" s="35">
        <f t="shared" si="0"/>
        <v>0</v>
      </c>
      <c r="J26" s="9"/>
    </row>
    <row r="27" spans="1:10" ht="12" customHeight="1">
      <c r="A27" s="122" t="s">
        <v>80</v>
      </c>
      <c r="B27" s="123"/>
      <c r="C27" s="123"/>
      <c r="D27" s="123"/>
      <c r="E27" s="124"/>
      <c r="F27" s="1"/>
      <c r="G27" s="38"/>
      <c r="H27" s="38"/>
      <c r="I27" s="39">
        <f>SUM(I21:I26)</f>
        <v>0</v>
      </c>
      <c r="J27" s="29"/>
    </row>
    <row r="28" spans="1:9" ht="12.75">
      <c r="A28" s="31"/>
      <c r="B28" s="31"/>
      <c r="C28" s="31"/>
      <c r="D28" s="31"/>
      <c r="E28" s="31"/>
      <c r="F28" s="31"/>
      <c r="G28" s="31"/>
      <c r="H28" s="31"/>
      <c r="I28" s="31"/>
    </row>
    <row r="29" spans="1:10" ht="14.25" customHeight="1">
      <c r="A29" s="125" t="s">
        <v>81</v>
      </c>
      <c r="B29" s="126"/>
      <c r="C29" s="126"/>
      <c r="D29" s="126"/>
      <c r="E29" s="127"/>
      <c r="F29" s="128">
        <f>I18+I27</f>
        <v>0</v>
      </c>
      <c r="G29" s="129"/>
      <c r="H29" s="129"/>
      <c r="I29" s="130"/>
      <c r="J29" s="29"/>
    </row>
    <row r="30" spans="1:9" ht="12.75">
      <c r="A30" s="21"/>
      <c r="B30" s="21"/>
      <c r="C30" s="21"/>
      <c r="D30" s="21"/>
      <c r="E30" s="21"/>
      <c r="F30" s="21"/>
      <c r="G30" s="21"/>
      <c r="H30" s="21"/>
      <c r="I30" s="21"/>
    </row>
    <row r="33" spans="1:9" ht="14.25" customHeight="1">
      <c r="A33" s="131" t="s">
        <v>82</v>
      </c>
      <c r="B33" s="132"/>
      <c r="C33" s="132"/>
      <c r="D33" s="132"/>
      <c r="E33" s="132"/>
      <c r="F33" s="32"/>
      <c r="G33" s="32"/>
      <c r="H33" s="32"/>
      <c r="I33" s="32"/>
    </row>
    <row r="34" spans="1:10" ht="12" customHeight="1">
      <c r="A34" s="133" t="s">
        <v>83</v>
      </c>
      <c r="B34" s="134"/>
      <c r="C34" s="134"/>
      <c r="D34" s="134"/>
      <c r="E34" s="135"/>
      <c r="F34" s="33" t="s">
        <v>89</v>
      </c>
      <c r="G34" s="33" t="s">
        <v>90</v>
      </c>
      <c r="H34" s="33" t="s">
        <v>91</v>
      </c>
      <c r="I34" s="33" t="s">
        <v>89</v>
      </c>
      <c r="J34" s="29"/>
    </row>
    <row r="35" spans="1:10" ht="12.75">
      <c r="A35" s="116" t="s">
        <v>84</v>
      </c>
      <c r="B35" s="117"/>
      <c r="C35" s="117"/>
      <c r="D35" s="117"/>
      <c r="E35" s="118"/>
      <c r="F35" s="34">
        <v>0</v>
      </c>
      <c r="G35" s="36"/>
      <c r="H35" s="36"/>
      <c r="I35" s="34">
        <f>F35</f>
        <v>0</v>
      </c>
      <c r="J35" s="9"/>
    </row>
    <row r="36" spans="1:10" ht="12.75">
      <c r="A36" s="116" t="s">
        <v>85</v>
      </c>
      <c r="B36" s="117"/>
      <c r="C36" s="117"/>
      <c r="D36" s="117"/>
      <c r="E36" s="118"/>
      <c r="F36" s="34">
        <v>0</v>
      </c>
      <c r="G36" s="36"/>
      <c r="H36" s="36"/>
      <c r="I36" s="34">
        <f>F36</f>
        <v>0</v>
      </c>
      <c r="J36" s="9"/>
    </row>
    <row r="37" spans="1:10" ht="12.75">
      <c r="A37" s="119" t="s">
        <v>86</v>
      </c>
      <c r="B37" s="120"/>
      <c r="C37" s="120"/>
      <c r="D37" s="120"/>
      <c r="E37" s="121"/>
      <c r="F37" s="35">
        <v>0</v>
      </c>
      <c r="G37" s="37"/>
      <c r="H37" s="37"/>
      <c r="I37" s="35">
        <f>F37</f>
        <v>0</v>
      </c>
      <c r="J37" s="9"/>
    </row>
    <row r="38" spans="1:10" ht="12" customHeight="1">
      <c r="A38" s="122" t="s">
        <v>87</v>
      </c>
      <c r="B38" s="123"/>
      <c r="C38" s="123"/>
      <c r="D38" s="123"/>
      <c r="E38" s="124"/>
      <c r="F38" s="1"/>
      <c r="G38" s="38"/>
      <c r="H38" s="38"/>
      <c r="I38" s="39">
        <f>SUM(I35:I37)</f>
        <v>0</v>
      </c>
      <c r="J38" s="29"/>
    </row>
    <row r="39" spans="1:9" ht="12.75">
      <c r="A39" s="21"/>
      <c r="B39" s="21"/>
      <c r="C39" s="21"/>
      <c r="D39" s="21"/>
      <c r="E39" s="21"/>
      <c r="F39" s="21"/>
      <c r="G39" s="21"/>
      <c r="H39" s="21"/>
      <c r="I39" s="21"/>
    </row>
  </sheetData>
  <sheetProtection/>
  <mergeCells count="5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3:E13"/>
    <mergeCell ref="A14:E14"/>
    <mergeCell ref="A15:E15"/>
    <mergeCell ref="A16:E16"/>
    <mergeCell ref="A17:E17"/>
    <mergeCell ref="A18:E18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35:E35"/>
    <mergeCell ref="A36:E36"/>
    <mergeCell ref="A37:E37"/>
    <mergeCell ref="A38:E38"/>
    <mergeCell ref="A26:E26"/>
    <mergeCell ref="A27:E27"/>
    <mergeCell ref="A29:E29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6" width="12.140625" style="0" customWidth="1"/>
    <col min="7" max="7" width="20.8515625" style="0" customWidth="1"/>
    <col min="8" max="9" width="0" style="0" hidden="1" customWidth="1"/>
  </cols>
  <sheetData>
    <row r="1" spans="1:7" ht="72.75" customHeight="1">
      <c r="A1" s="143" t="s">
        <v>0</v>
      </c>
      <c r="B1" s="108"/>
      <c r="C1" s="108"/>
      <c r="D1" s="108"/>
      <c r="E1" s="108"/>
      <c r="F1" s="108"/>
      <c r="G1" s="108"/>
    </row>
    <row r="2" spans="1:8" ht="12" customHeight="1">
      <c r="A2" s="109" t="s">
        <v>1</v>
      </c>
      <c r="B2" s="111" t="str">
        <f>'Stavební rozpočet'!C2</f>
        <v>ZŠ Palackého 68</v>
      </c>
      <c r="C2" s="112"/>
      <c r="D2" s="114" t="s">
        <v>20</v>
      </c>
      <c r="E2" s="114" t="str">
        <f>'Stavební rozpočet'!H2</f>
        <v> </v>
      </c>
      <c r="F2" s="110"/>
      <c r="G2" s="144"/>
      <c r="H2" s="9"/>
    </row>
    <row r="3" spans="1:8" ht="13.5" customHeight="1">
      <c r="A3" s="104"/>
      <c r="B3" s="113"/>
      <c r="C3" s="113"/>
      <c r="D3" s="78"/>
      <c r="E3" s="78"/>
      <c r="F3" s="78"/>
      <c r="G3" s="106"/>
      <c r="H3" s="9"/>
    </row>
    <row r="4" spans="1:8" ht="12.75">
      <c r="A4" s="98" t="s">
        <v>2</v>
      </c>
      <c r="B4" s="77" t="str">
        <f>'Stavební rozpočet'!C4</f>
        <v>sanace vlhkého zdiva</v>
      </c>
      <c r="C4" s="78"/>
      <c r="D4" s="77" t="s">
        <v>21</v>
      </c>
      <c r="E4" s="77" t="str">
        <f>'Stavební rozpočet'!H4</f>
        <v>SAREP PROJEKTY s.r.o.</v>
      </c>
      <c r="F4" s="78"/>
      <c r="G4" s="106"/>
      <c r="H4" s="9"/>
    </row>
    <row r="5" spans="1:8" ht="12.75" customHeight="1">
      <c r="A5" s="104"/>
      <c r="B5" s="78"/>
      <c r="C5" s="78"/>
      <c r="D5" s="78"/>
      <c r="E5" s="78"/>
      <c r="F5" s="78"/>
      <c r="G5" s="106"/>
      <c r="H5" s="9"/>
    </row>
    <row r="6" spans="1:8" ht="12.75">
      <c r="A6" s="98" t="s">
        <v>3</v>
      </c>
      <c r="B6" s="77" t="str">
        <f>'Stavební rozpočet'!C6</f>
        <v>Brno - Královo Pole</v>
      </c>
      <c r="C6" s="78"/>
      <c r="D6" s="77" t="s">
        <v>22</v>
      </c>
      <c r="E6" s="77" t="str">
        <f>'Stavební rozpočet'!H6</f>
        <v> </v>
      </c>
      <c r="F6" s="78"/>
      <c r="G6" s="106"/>
      <c r="H6" s="9"/>
    </row>
    <row r="7" spans="1:8" ht="12.75" customHeight="1">
      <c r="A7" s="104"/>
      <c r="B7" s="78"/>
      <c r="C7" s="78"/>
      <c r="D7" s="78"/>
      <c r="E7" s="78"/>
      <c r="F7" s="78"/>
      <c r="G7" s="106"/>
      <c r="H7" s="9"/>
    </row>
    <row r="8" spans="1:8" ht="12.75">
      <c r="A8" s="98" t="s">
        <v>4</v>
      </c>
      <c r="B8" s="77" t="str">
        <f>'Stavební rozpočet'!H8</f>
        <v>Ing. Lucie Pilařová</v>
      </c>
      <c r="C8" s="78"/>
      <c r="D8" s="101" t="s">
        <v>23</v>
      </c>
      <c r="E8" s="77" t="str">
        <f>'Stavební rozpočet'!F8</f>
        <v>27.01.2022</v>
      </c>
      <c r="F8" s="78"/>
      <c r="G8" s="106"/>
      <c r="H8" s="9"/>
    </row>
    <row r="9" spans="1:8" ht="12.75">
      <c r="A9" s="140"/>
      <c r="B9" s="141"/>
      <c r="C9" s="141"/>
      <c r="D9" s="141"/>
      <c r="E9" s="141"/>
      <c r="F9" s="141"/>
      <c r="G9" s="142"/>
      <c r="H9" s="9"/>
    </row>
    <row r="10" spans="1:8" ht="12" customHeight="1">
      <c r="A10" s="1" t="s">
        <v>5</v>
      </c>
      <c r="B10" s="4" t="s">
        <v>6</v>
      </c>
      <c r="C10" s="136" t="s">
        <v>13</v>
      </c>
      <c r="D10" s="123"/>
      <c r="E10" s="123"/>
      <c r="F10" s="137"/>
      <c r="G10" s="8" t="s">
        <v>25</v>
      </c>
      <c r="H10" s="9"/>
    </row>
    <row r="11" spans="1:9" ht="12.75">
      <c r="A11" s="2"/>
      <c r="B11" s="5" t="s">
        <v>7</v>
      </c>
      <c r="C11" s="138" t="s">
        <v>14</v>
      </c>
      <c r="D11" s="139"/>
      <c r="E11" s="139"/>
      <c r="F11" s="139"/>
      <c r="G11" s="11">
        <f>'Stavební rozpočet'!L12</f>
        <v>0</v>
      </c>
      <c r="H11" s="10" t="s">
        <v>26</v>
      </c>
      <c r="I11" s="10">
        <f aca="true" t="shared" si="0" ref="I11:I16">IF(H11="F",0,G11)</f>
        <v>0</v>
      </c>
    </row>
    <row r="12" spans="1:9" ht="12.75">
      <c r="A12" s="3"/>
      <c r="B12" s="6" t="s">
        <v>8</v>
      </c>
      <c r="C12" s="101" t="s">
        <v>15</v>
      </c>
      <c r="D12" s="78"/>
      <c r="E12" s="78"/>
      <c r="F12" s="78"/>
      <c r="G12" s="10">
        <f>'Stavební rozpočet'!L43</f>
        <v>0</v>
      </c>
      <c r="H12" s="10" t="s">
        <v>26</v>
      </c>
      <c r="I12" s="10">
        <f t="shared" si="0"/>
        <v>0</v>
      </c>
    </row>
    <row r="13" spans="1:9" ht="12.75">
      <c r="A13" s="3"/>
      <c r="B13" s="6" t="s">
        <v>9</v>
      </c>
      <c r="C13" s="101" t="s">
        <v>16</v>
      </c>
      <c r="D13" s="78"/>
      <c r="E13" s="78"/>
      <c r="F13" s="78"/>
      <c r="G13" s="10">
        <f>'Stavební rozpočet'!L47</f>
        <v>0</v>
      </c>
      <c r="H13" s="10" t="s">
        <v>26</v>
      </c>
      <c r="I13" s="10">
        <f t="shared" si="0"/>
        <v>0</v>
      </c>
    </row>
    <row r="14" spans="1:9" ht="12.75">
      <c r="A14" s="3"/>
      <c r="B14" s="6" t="s">
        <v>10</v>
      </c>
      <c r="C14" s="101" t="s">
        <v>17</v>
      </c>
      <c r="D14" s="78"/>
      <c r="E14" s="78"/>
      <c r="F14" s="78"/>
      <c r="G14" s="10">
        <f>'Stavební rozpočet'!L52</f>
        <v>0</v>
      </c>
      <c r="H14" s="10" t="s">
        <v>26</v>
      </c>
      <c r="I14" s="10">
        <f t="shared" si="0"/>
        <v>0</v>
      </c>
    </row>
    <row r="15" spans="1:9" ht="12.75">
      <c r="A15" s="3"/>
      <c r="B15" s="6" t="s">
        <v>11</v>
      </c>
      <c r="C15" s="101" t="s">
        <v>18</v>
      </c>
      <c r="D15" s="78"/>
      <c r="E15" s="78"/>
      <c r="F15" s="78"/>
      <c r="G15" s="10">
        <f>'Stavební rozpočet'!L55</f>
        <v>0</v>
      </c>
      <c r="H15" s="10" t="s">
        <v>26</v>
      </c>
      <c r="I15" s="10">
        <f t="shared" si="0"/>
        <v>0</v>
      </c>
    </row>
    <row r="16" spans="1:9" ht="12.75">
      <c r="A16" s="3"/>
      <c r="B16" s="6" t="s">
        <v>12</v>
      </c>
      <c r="C16" s="101" t="s">
        <v>19</v>
      </c>
      <c r="D16" s="78"/>
      <c r="E16" s="78"/>
      <c r="F16" s="78"/>
      <c r="G16" s="10">
        <f>'Stavební rozpočet'!L64</f>
        <v>0</v>
      </c>
      <c r="H16" s="10" t="s">
        <v>26</v>
      </c>
      <c r="I16" s="10">
        <f t="shared" si="0"/>
        <v>0</v>
      </c>
    </row>
    <row r="17" spans="6:7" ht="12" customHeight="1">
      <c r="F17" s="7" t="s">
        <v>24</v>
      </c>
      <c r="G17" s="12">
        <f>SUM(I11:I16)</f>
        <v>0</v>
      </c>
    </row>
  </sheetData>
  <sheetProtection/>
  <mergeCells count="24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  <mergeCell ref="C16:F16"/>
    <mergeCell ref="C10:F10"/>
    <mergeCell ref="C11:F11"/>
    <mergeCell ref="C12:F12"/>
    <mergeCell ref="C13:F13"/>
    <mergeCell ref="C14:F14"/>
    <mergeCell ref="C15:F1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8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B62" sqref="B62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65.7109375" style="0" customWidth="1"/>
    <col min="4" max="8" width="12.140625" style="0" customWidth="1"/>
    <col min="9" max="9" width="7.28125" style="0" customWidth="1"/>
    <col min="10" max="10" width="12.8515625" style="0" customWidth="1"/>
    <col min="11" max="11" width="12.00390625" style="0" customWidth="1"/>
    <col min="12" max="12" width="14.28125" style="0" customWidth="1"/>
    <col min="13" max="24" width="11.57421875" style="0" customWidth="1"/>
    <col min="25" max="64" width="11.00390625" style="0" hidden="1" customWidth="1"/>
  </cols>
  <sheetData>
    <row r="1" spans="1:12" ht="72.75" customHeight="1">
      <c r="A1" s="143" t="s">
        <v>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3" ht="12" customHeight="1">
      <c r="A2" s="109" t="s">
        <v>1</v>
      </c>
      <c r="B2" s="110"/>
      <c r="C2" s="111" t="s">
        <v>142</v>
      </c>
      <c r="D2" s="168" t="s">
        <v>195</v>
      </c>
      <c r="E2" s="110"/>
      <c r="F2" s="168" t="s">
        <v>196</v>
      </c>
      <c r="G2" s="114" t="s">
        <v>20</v>
      </c>
      <c r="H2" s="168" t="s">
        <v>199</v>
      </c>
      <c r="I2" s="110"/>
      <c r="J2" s="110"/>
      <c r="K2" s="110"/>
      <c r="L2" s="144"/>
      <c r="M2" s="58"/>
    </row>
    <row r="3" spans="1:13" ht="12" customHeight="1">
      <c r="A3" s="104"/>
      <c r="B3" s="78"/>
      <c r="C3" s="113"/>
      <c r="D3" s="78"/>
      <c r="E3" s="78"/>
      <c r="F3" s="78"/>
      <c r="G3" s="78"/>
      <c r="H3" s="78"/>
      <c r="I3" s="78"/>
      <c r="J3" s="78"/>
      <c r="K3" s="78"/>
      <c r="L3" s="106"/>
      <c r="M3" s="58"/>
    </row>
    <row r="4" spans="1:13" ht="12.75">
      <c r="A4" s="98" t="s">
        <v>2</v>
      </c>
      <c r="B4" s="78"/>
      <c r="C4" s="77" t="s">
        <v>143</v>
      </c>
      <c r="D4" s="101" t="s">
        <v>27</v>
      </c>
      <c r="E4" s="78"/>
      <c r="F4" s="101" t="s">
        <v>94</v>
      </c>
      <c r="G4" s="77" t="s">
        <v>21</v>
      </c>
      <c r="H4" s="77" t="s">
        <v>200</v>
      </c>
      <c r="I4" s="78"/>
      <c r="J4" s="78"/>
      <c r="K4" s="78"/>
      <c r="L4" s="106"/>
      <c r="M4" s="58"/>
    </row>
    <row r="5" spans="1:13" ht="12.75">
      <c r="A5" s="104"/>
      <c r="B5" s="78"/>
      <c r="C5" s="78"/>
      <c r="D5" s="78"/>
      <c r="E5" s="78"/>
      <c r="F5" s="78"/>
      <c r="G5" s="78"/>
      <c r="H5" s="78"/>
      <c r="I5" s="78"/>
      <c r="J5" s="78"/>
      <c r="K5" s="78"/>
      <c r="L5" s="106"/>
      <c r="M5" s="58"/>
    </row>
    <row r="6" spans="1:13" ht="12.75">
      <c r="A6" s="98" t="s">
        <v>3</v>
      </c>
      <c r="B6" s="78"/>
      <c r="C6" s="77" t="s">
        <v>144</v>
      </c>
      <c r="D6" s="101" t="s">
        <v>56</v>
      </c>
      <c r="E6" s="78"/>
      <c r="F6" s="101" t="s">
        <v>197</v>
      </c>
      <c r="G6" s="77" t="s">
        <v>22</v>
      </c>
      <c r="H6" s="101" t="s">
        <v>199</v>
      </c>
      <c r="I6" s="78"/>
      <c r="J6" s="78"/>
      <c r="K6" s="78"/>
      <c r="L6" s="106"/>
      <c r="M6" s="58"/>
    </row>
    <row r="7" spans="1:13" ht="12.75">
      <c r="A7" s="104"/>
      <c r="B7" s="78"/>
      <c r="C7" s="78"/>
      <c r="D7" s="78"/>
      <c r="E7" s="78"/>
      <c r="F7" s="78"/>
      <c r="G7" s="78"/>
      <c r="H7" s="78"/>
      <c r="I7" s="78"/>
      <c r="J7" s="78"/>
      <c r="K7" s="78"/>
      <c r="L7" s="106"/>
      <c r="M7" s="58"/>
    </row>
    <row r="8" spans="1:13" ht="12.75">
      <c r="A8" s="98" t="s">
        <v>28</v>
      </c>
      <c r="B8" s="78"/>
      <c r="C8" s="77" t="s">
        <v>94</v>
      </c>
      <c r="D8" s="101" t="s">
        <v>23</v>
      </c>
      <c r="E8" s="78"/>
      <c r="F8" s="101" t="s">
        <v>198</v>
      </c>
      <c r="G8" s="77" t="s">
        <v>4</v>
      </c>
      <c r="H8" s="77" t="s">
        <v>201</v>
      </c>
      <c r="I8" s="78"/>
      <c r="J8" s="78"/>
      <c r="K8" s="78"/>
      <c r="L8" s="106"/>
      <c r="M8" s="58"/>
    </row>
    <row r="9" spans="1:13" ht="12.75">
      <c r="A9" s="140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2"/>
      <c r="M9" s="58"/>
    </row>
    <row r="10" spans="1:64" ht="12" customHeight="1">
      <c r="A10" s="43" t="s">
        <v>93</v>
      </c>
      <c r="B10" s="43" t="s">
        <v>6</v>
      </c>
      <c r="C10" s="162" t="s">
        <v>145</v>
      </c>
      <c r="D10" s="163"/>
      <c r="E10" s="163"/>
      <c r="F10" s="163"/>
      <c r="G10" s="163"/>
      <c r="H10" s="164"/>
      <c r="I10" s="43" t="s">
        <v>202</v>
      </c>
      <c r="J10" s="48" t="s">
        <v>211</v>
      </c>
      <c r="K10" s="50" t="s">
        <v>212</v>
      </c>
      <c r="L10" s="64" t="s">
        <v>214</v>
      </c>
      <c r="M10" s="58"/>
      <c r="BK10" s="51" t="s">
        <v>239</v>
      </c>
      <c r="BL10" s="54" t="s">
        <v>240</v>
      </c>
    </row>
    <row r="11" spans="1:62" ht="12" customHeight="1">
      <c r="A11" s="75" t="s">
        <v>94</v>
      </c>
      <c r="B11" s="75" t="s">
        <v>94</v>
      </c>
      <c r="C11" s="165" t="s">
        <v>146</v>
      </c>
      <c r="D11" s="166"/>
      <c r="E11" s="166"/>
      <c r="F11" s="166"/>
      <c r="G11" s="166"/>
      <c r="H11" s="167"/>
      <c r="I11" s="75" t="s">
        <v>94</v>
      </c>
      <c r="J11" s="75" t="s">
        <v>94</v>
      </c>
      <c r="K11" s="76" t="s">
        <v>213</v>
      </c>
      <c r="L11" s="76" t="s">
        <v>215</v>
      </c>
      <c r="M11" s="58"/>
      <c r="Z11" s="51" t="s">
        <v>216</v>
      </c>
      <c r="AA11" s="51" t="s">
        <v>217</v>
      </c>
      <c r="AB11" s="51" t="s">
        <v>218</v>
      </c>
      <c r="AC11" s="51" t="s">
        <v>219</v>
      </c>
      <c r="AD11" s="51" t="s">
        <v>220</v>
      </c>
      <c r="AE11" s="51" t="s">
        <v>221</v>
      </c>
      <c r="AF11" s="51" t="s">
        <v>222</v>
      </c>
      <c r="AG11" s="51" t="s">
        <v>223</v>
      </c>
      <c r="AH11" s="51" t="s">
        <v>224</v>
      </c>
      <c r="BH11" s="51" t="s">
        <v>236</v>
      </c>
      <c r="BI11" s="51" t="s">
        <v>237</v>
      </c>
      <c r="BJ11" s="51" t="s">
        <v>238</v>
      </c>
    </row>
    <row r="12" spans="1:47" ht="12" customHeight="1">
      <c r="A12" s="41"/>
      <c r="B12" s="46" t="s">
        <v>7</v>
      </c>
      <c r="C12" s="145" t="s">
        <v>14</v>
      </c>
      <c r="D12" s="146"/>
      <c r="E12" s="146"/>
      <c r="F12" s="146"/>
      <c r="G12" s="146"/>
      <c r="H12" s="146"/>
      <c r="I12" s="47" t="s">
        <v>94</v>
      </c>
      <c r="J12" s="47" t="s">
        <v>94</v>
      </c>
      <c r="K12" s="47" t="s">
        <v>94</v>
      </c>
      <c r="L12" s="56">
        <f>SUM(L13:L41)</f>
        <v>0</v>
      </c>
      <c r="M12" s="58"/>
      <c r="AI12" s="51"/>
      <c r="AS12" s="57">
        <f>SUM(AJ13:AJ41)</f>
        <v>0</v>
      </c>
      <c r="AT12" s="57">
        <f>SUM(AK13:AK41)</f>
        <v>0</v>
      </c>
      <c r="AU12" s="57">
        <f>SUM(AL13:AL41)</f>
        <v>0</v>
      </c>
    </row>
    <row r="13" spans="1:64" ht="12" customHeight="1">
      <c r="A13" s="40" t="s">
        <v>95</v>
      </c>
      <c r="B13" s="44" t="s">
        <v>118</v>
      </c>
      <c r="C13" s="158" t="s">
        <v>147</v>
      </c>
      <c r="D13" s="151"/>
      <c r="E13" s="151"/>
      <c r="F13" s="151"/>
      <c r="G13" s="151"/>
      <c r="H13" s="151"/>
      <c r="I13" s="44" t="s">
        <v>203</v>
      </c>
      <c r="J13" s="49">
        <v>10</v>
      </c>
      <c r="K13" s="73">
        <v>0</v>
      </c>
      <c r="L13" s="55">
        <f>J13*K13</f>
        <v>0</v>
      </c>
      <c r="M13" s="58"/>
      <c r="Z13" s="10">
        <f>IF(AQ13="5",BJ13,0)</f>
        <v>0</v>
      </c>
      <c r="AB13" s="10">
        <f>IF(AQ13="1",BH13,0)</f>
        <v>0</v>
      </c>
      <c r="AC13" s="10">
        <f>IF(AQ13="1",BI13,0)</f>
        <v>0</v>
      </c>
      <c r="AD13" s="10">
        <f>IF(AQ13="7",BH13,0)</f>
        <v>0</v>
      </c>
      <c r="AE13" s="10">
        <f>IF(AQ13="7",BI13,0)</f>
        <v>0</v>
      </c>
      <c r="AF13" s="10">
        <f>IF(AQ13="2",BH13,0)</f>
        <v>0</v>
      </c>
      <c r="AG13" s="10">
        <f>IF(AQ13="2",BI13,0)</f>
        <v>0</v>
      </c>
      <c r="AH13" s="10">
        <f>IF(AQ13="0",BJ13,0)</f>
        <v>0</v>
      </c>
      <c r="AI13" s="51"/>
      <c r="AJ13" s="49">
        <f>IF(AN13=0,L13,0)</f>
        <v>0</v>
      </c>
      <c r="AK13" s="49">
        <f>IF(AN13=15,L13,0)</f>
        <v>0</v>
      </c>
      <c r="AL13" s="49">
        <f>IF(AN13=21,L13,0)</f>
        <v>0</v>
      </c>
      <c r="AN13" s="10">
        <v>21</v>
      </c>
      <c r="AO13" s="10">
        <f>K13*0</f>
        <v>0</v>
      </c>
      <c r="AP13" s="10">
        <f>K13*(1-0)</f>
        <v>0</v>
      </c>
      <c r="AQ13" s="52" t="s">
        <v>95</v>
      </c>
      <c r="AV13" s="10">
        <f>AW13+AX13</f>
        <v>0</v>
      </c>
      <c r="AW13" s="10">
        <f>J13*AO13</f>
        <v>0</v>
      </c>
      <c r="AX13" s="10">
        <f>J13*AP13</f>
        <v>0</v>
      </c>
      <c r="AY13" s="53" t="s">
        <v>225</v>
      </c>
      <c r="AZ13" s="53" t="s">
        <v>231</v>
      </c>
      <c r="BA13" s="51" t="s">
        <v>235</v>
      </c>
      <c r="BC13" s="10">
        <f>AW13+AX13</f>
        <v>0</v>
      </c>
      <c r="BD13" s="10">
        <f>K13/(100-BE13)*100</f>
        <v>0</v>
      </c>
      <c r="BE13" s="10">
        <v>0</v>
      </c>
      <c r="BF13" s="10">
        <f>13</f>
        <v>13</v>
      </c>
      <c r="BH13" s="49">
        <f>J13*AO13</f>
        <v>0</v>
      </c>
      <c r="BI13" s="49">
        <f>J13*AP13</f>
        <v>0</v>
      </c>
      <c r="BJ13" s="49">
        <f>J13*K13</f>
        <v>0</v>
      </c>
      <c r="BK13" s="49" t="s">
        <v>12</v>
      </c>
      <c r="BL13" s="10">
        <v>27</v>
      </c>
    </row>
    <row r="14" spans="1:13" ht="12.75" customHeight="1">
      <c r="A14" s="9"/>
      <c r="B14" s="45"/>
      <c r="C14" s="155" t="s">
        <v>148</v>
      </c>
      <c r="D14" s="156"/>
      <c r="E14" s="156"/>
      <c r="F14" s="156"/>
      <c r="G14" s="156"/>
      <c r="H14" s="156"/>
      <c r="I14" s="156"/>
      <c r="J14" s="156"/>
      <c r="K14" s="156"/>
      <c r="L14" s="157"/>
      <c r="M14" s="58"/>
    </row>
    <row r="15" spans="1:64" ht="12" customHeight="1">
      <c r="A15" s="65" t="s">
        <v>96</v>
      </c>
      <c r="B15" s="61" t="s">
        <v>119</v>
      </c>
      <c r="C15" s="150" t="s">
        <v>149</v>
      </c>
      <c r="D15" s="151"/>
      <c r="E15" s="151"/>
      <c r="F15" s="151"/>
      <c r="G15" s="151"/>
      <c r="H15" s="152"/>
      <c r="I15" s="61" t="s">
        <v>204</v>
      </c>
      <c r="J15" s="62">
        <v>373.3</v>
      </c>
      <c r="K15" s="73">
        <v>0</v>
      </c>
      <c r="L15" s="66">
        <f>J15*K15</f>
        <v>0</v>
      </c>
      <c r="M15" s="58"/>
      <c r="Z15" s="10">
        <f>IF(AQ15="5",BJ15,0)</f>
        <v>0</v>
      </c>
      <c r="AB15" s="10">
        <f>IF(AQ15="1",BH15,0)</f>
        <v>0</v>
      </c>
      <c r="AC15" s="10">
        <f>IF(AQ15="1",BI15,0)</f>
        <v>0</v>
      </c>
      <c r="AD15" s="10">
        <f>IF(AQ15="7",BH15,0)</f>
        <v>0</v>
      </c>
      <c r="AE15" s="10">
        <f>IF(AQ15="7",BI15,0)</f>
        <v>0</v>
      </c>
      <c r="AF15" s="10">
        <f>IF(AQ15="2",BH15,0)</f>
        <v>0</v>
      </c>
      <c r="AG15" s="10">
        <f>IF(AQ15="2",BI15,0)</f>
        <v>0</v>
      </c>
      <c r="AH15" s="10">
        <f>IF(AQ15="0",BJ15,0)</f>
        <v>0</v>
      </c>
      <c r="AI15" s="51"/>
      <c r="AJ15" s="49">
        <f>IF(AN15=0,L15,0)</f>
        <v>0</v>
      </c>
      <c r="AK15" s="49">
        <f>IF(AN15=15,L15,0)</f>
        <v>0</v>
      </c>
      <c r="AL15" s="49">
        <f>IF(AN15=21,L15,0)</f>
        <v>0</v>
      </c>
      <c r="AN15" s="10">
        <v>21</v>
      </c>
      <c r="AO15" s="10">
        <f>K15*0.567756097560976</f>
        <v>0</v>
      </c>
      <c r="AP15" s="10">
        <f>K15*(1-0.567756097560976)</f>
        <v>0</v>
      </c>
      <c r="AQ15" s="52" t="s">
        <v>95</v>
      </c>
      <c r="AV15" s="10">
        <f>AW15+AX15</f>
        <v>0</v>
      </c>
      <c r="AW15" s="10">
        <f>J15*AO15</f>
        <v>0</v>
      </c>
      <c r="AX15" s="10">
        <f>J15*AP15</f>
        <v>0</v>
      </c>
      <c r="AY15" s="53" t="s">
        <v>225</v>
      </c>
      <c r="AZ15" s="53" t="s">
        <v>231</v>
      </c>
      <c r="BA15" s="51" t="s">
        <v>235</v>
      </c>
      <c r="BC15" s="10">
        <f>AW15+AX15</f>
        <v>0</v>
      </c>
      <c r="BD15" s="10">
        <f>K15/(100-BE15)*100</f>
        <v>0</v>
      </c>
      <c r="BE15" s="10">
        <v>0</v>
      </c>
      <c r="BF15" s="10">
        <f>15</f>
        <v>15</v>
      </c>
      <c r="BH15" s="49">
        <f>J15*AO15</f>
        <v>0</v>
      </c>
      <c r="BI15" s="49">
        <f>J15*AP15</f>
        <v>0</v>
      </c>
      <c r="BJ15" s="49">
        <f>J15*K15</f>
        <v>0</v>
      </c>
      <c r="BK15" s="49" t="s">
        <v>12</v>
      </c>
      <c r="BL15" s="10">
        <v>27</v>
      </c>
    </row>
    <row r="16" spans="1:64" ht="12" customHeight="1">
      <c r="A16" s="67" t="s">
        <v>97</v>
      </c>
      <c r="B16" s="59" t="s">
        <v>120</v>
      </c>
      <c r="C16" s="153" t="s">
        <v>150</v>
      </c>
      <c r="D16" s="151"/>
      <c r="E16" s="151"/>
      <c r="F16" s="151"/>
      <c r="G16" s="151"/>
      <c r="H16" s="154"/>
      <c r="I16" s="59" t="s">
        <v>204</v>
      </c>
      <c r="J16" s="60">
        <v>373.3</v>
      </c>
      <c r="K16" s="73">
        <v>0</v>
      </c>
      <c r="L16" s="68">
        <f>J16*K16</f>
        <v>0</v>
      </c>
      <c r="M16" s="58"/>
      <c r="Z16" s="10">
        <f>IF(AQ16="5",BJ16,0)</f>
        <v>0</v>
      </c>
      <c r="AB16" s="10">
        <f>IF(AQ16="1",BH16,0)</f>
        <v>0</v>
      </c>
      <c r="AC16" s="10">
        <f>IF(AQ16="1",BI16,0)</f>
        <v>0</v>
      </c>
      <c r="AD16" s="10">
        <f>IF(AQ16="7",BH16,0)</f>
        <v>0</v>
      </c>
      <c r="AE16" s="10">
        <f>IF(AQ16="7",BI16,0)</f>
        <v>0</v>
      </c>
      <c r="AF16" s="10">
        <f>IF(AQ16="2",BH16,0)</f>
        <v>0</v>
      </c>
      <c r="AG16" s="10">
        <f>IF(AQ16="2",BI16,0)</f>
        <v>0</v>
      </c>
      <c r="AH16" s="10">
        <f>IF(AQ16="0",BJ16,0)</f>
        <v>0</v>
      </c>
      <c r="AI16" s="51"/>
      <c r="AJ16" s="49">
        <f>IF(AN16=0,L16,0)</f>
        <v>0</v>
      </c>
      <c r="AK16" s="49">
        <f>IF(AN16=15,L16,0)</f>
        <v>0</v>
      </c>
      <c r="AL16" s="49">
        <f>IF(AN16=21,L16,0)</f>
        <v>0</v>
      </c>
      <c r="AN16" s="10">
        <v>21</v>
      </c>
      <c r="AO16" s="10">
        <f>K16*0.689898089171975</f>
        <v>0</v>
      </c>
      <c r="AP16" s="10">
        <f>K16*(1-0.689898089171975)</f>
        <v>0</v>
      </c>
      <c r="AQ16" s="52" t="s">
        <v>95</v>
      </c>
      <c r="AV16" s="10">
        <f>AW16+AX16</f>
        <v>0</v>
      </c>
      <c r="AW16" s="10">
        <f>J16*AO16</f>
        <v>0</v>
      </c>
      <c r="AX16" s="10">
        <f>J16*AP16</f>
        <v>0</v>
      </c>
      <c r="AY16" s="53" t="s">
        <v>225</v>
      </c>
      <c r="AZ16" s="53" t="s">
        <v>231</v>
      </c>
      <c r="BA16" s="51" t="s">
        <v>235</v>
      </c>
      <c r="BC16" s="10">
        <f>AW16+AX16</f>
        <v>0</v>
      </c>
      <c r="BD16" s="10">
        <f>K16/(100-BE16)*100</f>
        <v>0</v>
      </c>
      <c r="BE16" s="10">
        <v>0</v>
      </c>
      <c r="BF16" s="10">
        <f>16</f>
        <v>16</v>
      </c>
      <c r="BH16" s="49">
        <f>J16*AO16</f>
        <v>0</v>
      </c>
      <c r="BI16" s="49">
        <f>J16*AP16</f>
        <v>0</v>
      </c>
      <c r="BJ16" s="49">
        <f>J16*K16</f>
        <v>0</v>
      </c>
      <c r="BK16" s="49" t="s">
        <v>12</v>
      </c>
      <c r="BL16" s="10">
        <v>27</v>
      </c>
    </row>
    <row r="17" spans="1:13" ht="12.75" customHeight="1">
      <c r="A17" s="9"/>
      <c r="B17" s="45"/>
      <c r="C17" s="155" t="s">
        <v>151</v>
      </c>
      <c r="D17" s="156"/>
      <c r="E17" s="156"/>
      <c r="F17" s="156"/>
      <c r="G17" s="156"/>
      <c r="H17" s="156"/>
      <c r="I17" s="156"/>
      <c r="J17" s="156"/>
      <c r="K17" s="156"/>
      <c r="L17" s="157"/>
      <c r="M17" s="58"/>
    </row>
    <row r="18" spans="1:13" ht="12.75" customHeight="1">
      <c r="A18" s="9"/>
      <c r="B18" s="45" t="s">
        <v>121</v>
      </c>
      <c r="C18" s="159" t="s">
        <v>152</v>
      </c>
      <c r="D18" s="160"/>
      <c r="E18" s="160"/>
      <c r="F18" s="160"/>
      <c r="G18" s="160"/>
      <c r="H18" s="160"/>
      <c r="I18" s="160"/>
      <c r="J18" s="160"/>
      <c r="K18" s="160"/>
      <c r="L18" s="161"/>
      <c r="M18" s="58"/>
    </row>
    <row r="19" spans="1:64" ht="12" customHeight="1">
      <c r="A19" s="67" t="s">
        <v>98</v>
      </c>
      <c r="B19" s="59" t="s">
        <v>122</v>
      </c>
      <c r="C19" s="153" t="s">
        <v>153</v>
      </c>
      <c r="D19" s="151"/>
      <c r="E19" s="151"/>
      <c r="F19" s="151"/>
      <c r="G19" s="151"/>
      <c r="H19" s="154"/>
      <c r="I19" s="59" t="s">
        <v>204</v>
      </c>
      <c r="J19" s="60">
        <v>160.9</v>
      </c>
      <c r="K19" s="73">
        <v>0</v>
      </c>
      <c r="L19" s="68">
        <f>J19*K19</f>
        <v>0</v>
      </c>
      <c r="M19" s="58"/>
      <c r="Z19" s="10">
        <f>IF(AQ19="5",BJ19,0)</f>
        <v>0</v>
      </c>
      <c r="AB19" s="10">
        <f>IF(AQ19="1",BH19,0)</f>
        <v>0</v>
      </c>
      <c r="AC19" s="10">
        <f>IF(AQ19="1",BI19,0)</f>
        <v>0</v>
      </c>
      <c r="AD19" s="10">
        <f>IF(AQ19="7",BH19,0)</f>
        <v>0</v>
      </c>
      <c r="AE19" s="10">
        <f>IF(AQ19="7",BI19,0)</f>
        <v>0</v>
      </c>
      <c r="AF19" s="10">
        <f>IF(AQ19="2",BH19,0)</f>
        <v>0</v>
      </c>
      <c r="AG19" s="10">
        <f>IF(AQ19="2",BI19,0)</f>
        <v>0</v>
      </c>
      <c r="AH19" s="10">
        <f>IF(AQ19="0",BJ19,0)</f>
        <v>0</v>
      </c>
      <c r="AI19" s="51"/>
      <c r="AJ19" s="49">
        <f>IF(AN19=0,L19,0)</f>
        <v>0</v>
      </c>
      <c r="AK19" s="49">
        <f>IF(AN19=15,L19,0)</f>
        <v>0</v>
      </c>
      <c r="AL19" s="49">
        <f>IF(AN19=21,L19,0)</f>
        <v>0</v>
      </c>
      <c r="AN19" s="10">
        <v>21</v>
      </c>
      <c r="AO19" s="10">
        <f>K19*0.617220779220779</f>
        <v>0</v>
      </c>
      <c r="AP19" s="10">
        <f>K19*(1-0.617220779220779)</f>
        <v>0</v>
      </c>
      <c r="AQ19" s="52" t="s">
        <v>95</v>
      </c>
      <c r="AV19" s="10">
        <f>AW19+AX19</f>
        <v>0</v>
      </c>
      <c r="AW19" s="10">
        <f>J19*AO19</f>
        <v>0</v>
      </c>
      <c r="AX19" s="10">
        <f>J19*AP19</f>
        <v>0</v>
      </c>
      <c r="AY19" s="53" t="s">
        <v>225</v>
      </c>
      <c r="AZ19" s="53" t="s">
        <v>231</v>
      </c>
      <c r="BA19" s="51" t="s">
        <v>235</v>
      </c>
      <c r="BC19" s="10">
        <f>AW19+AX19</f>
        <v>0</v>
      </c>
      <c r="BD19" s="10">
        <f>K19/(100-BE19)*100</f>
        <v>0</v>
      </c>
      <c r="BE19" s="10">
        <v>0</v>
      </c>
      <c r="BF19" s="10">
        <f>19</f>
        <v>19</v>
      </c>
      <c r="BH19" s="49">
        <f>J19*AO19</f>
        <v>0</v>
      </c>
      <c r="BI19" s="49">
        <f>J19*AP19</f>
        <v>0</v>
      </c>
      <c r="BJ19" s="49">
        <f>J19*K19</f>
        <v>0</v>
      </c>
      <c r="BK19" s="49" t="s">
        <v>12</v>
      </c>
      <c r="BL19" s="10">
        <v>27</v>
      </c>
    </row>
    <row r="20" spans="1:13" ht="12.75" customHeight="1">
      <c r="A20" s="9"/>
      <c r="B20" s="45" t="s">
        <v>121</v>
      </c>
      <c r="C20" s="159" t="s">
        <v>154</v>
      </c>
      <c r="D20" s="160"/>
      <c r="E20" s="160"/>
      <c r="F20" s="160"/>
      <c r="G20" s="160"/>
      <c r="H20" s="160"/>
      <c r="I20" s="160"/>
      <c r="J20" s="160"/>
      <c r="K20" s="160"/>
      <c r="L20" s="161"/>
      <c r="M20" s="58"/>
    </row>
    <row r="21" spans="1:64" ht="12" customHeight="1">
      <c r="A21" s="67" t="s">
        <v>99</v>
      </c>
      <c r="B21" s="59" t="s">
        <v>123</v>
      </c>
      <c r="C21" s="153" t="s">
        <v>155</v>
      </c>
      <c r="D21" s="151"/>
      <c r="E21" s="151"/>
      <c r="F21" s="151"/>
      <c r="G21" s="151"/>
      <c r="H21" s="154"/>
      <c r="I21" s="59" t="s">
        <v>204</v>
      </c>
      <c r="J21" s="60">
        <v>108</v>
      </c>
      <c r="K21" s="73">
        <v>0</v>
      </c>
      <c r="L21" s="68">
        <f>J21*K21</f>
        <v>0</v>
      </c>
      <c r="M21" s="58"/>
      <c r="Z21" s="10">
        <f>IF(AQ21="5",BJ21,0)</f>
        <v>0</v>
      </c>
      <c r="AB21" s="10">
        <f>IF(AQ21="1",BH21,0)</f>
        <v>0</v>
      </c>
      <c r="AC21" s="10">
        <f>IF(AQ21="1",BI21,0)</f>
        <v>0</v>
      </c>
      <c r="AD21" s="10">
        <f>IF(AQ21="7",BH21,0)</f>
        <v>0</v>
      </c>
      <c r="AE21" s="10">
        <f>IF(AQ21="7",BI21,0)</f>
        <v>0</v>
      </c>
      <c r="AF21" s="10">
        <f>IF(AQ21="2",BH21,0)</f>
        <v>0</v>
      </c>
      <c r="AG21" s="10">
        <f>IF(AQ21="2",BI21,0)</f>
        <v>0</v>
      </c>
      <c r="AH21" s="10">
        <f>IF(AQ21="0",BJ21,0)</f>
        <v>0</v>
      </c>
      <c r="AI21" s="51"/>
      <c r="AJ21" s="49">
        <f>IF(AN21=0,L21,0)</f>
        <v>0</v>
      </c>
      <c r="AK21" s="49">
        <f>IF(AN21=15,L21,0)</f>
        <v>0</v>
      </c>
      <c r="AL21" s="49">
        <f>IF(AN21=21,L21,0)</f>
        <v>0</v>
      </c>
      <c r="AN21" s="10">
        <v>21</v>
      </c>
      <c r="AO21" s="10">
        <f>K21*0.674702380952381</f>
        <v>0</v>
      </c>
      <c r="AP21" s="10">
        <f>K21*(1-0.674702380952381)</f>
        <v>0</v>
      </c>
      <c r="AQ21" s="52" t="s">
        <v>95</v>
      </c>
      <c r="AV21" s="10">
        <f>AW21+AX21</f>
        <v>0</v>
      </c>
      <c r="AW21" s="10">
        <f>J21*AO21</f>
        <v>0</v>
      </c>
      <c r="AX21" s="10">
        <f>J21*AP21</f>
        <v>0</v>
      </c>
      <c r="AY21" s="53" t="s">
        <v>225</v>
      </c>
      <c r="AZ21" s="53" t="s">
        <v>231</v>
      </c>
      <c r="BA21" s="51" t="s">
        <v>235</v>
      </c>
      <c r="BC21" s="10">
        <f>AW21+AX21</f>
        <v>0</v>
      </c>
      <c r="BD21" s="10">
        <f>K21/(100-BE21)*100</f>
        <v>0</v>
      </c>
      <c r="BE21" s="10">
        <v>0</v>
      </c>
      <c r="BF21" s="10">
        <f>21</f>
        <v>21</v>
      </c>
      <c r="BH21" s="49">
        <f>J21*AO21</f>
        <v>0</v>
      </c>
      <c r="BI21" s="49">
        <f>J21*AP21</f>
        <v>0</v>
      </c>
      <c r="BJ21" s="49">
        <f>J21*K21</f>
        <v>0</v>
      </c>
      <c r="BK21" s="49" t="s">
        <v>12</v>
      </c>
      <c r="BL21" s="10">
        <v>27</v>
      </c>
    </row>
    <row r="22" spans="1:13" ht="12.75" customHeight="1">
      <c r="A22" s="9"/>
      <c r="B22" s="45"/>
      <c r="C22" s="155" t="s">
        <v>156</v>
      </c>
      <c r="D22" s="156"/>
      <c r="E22" s="156"/>
      <c r="F22" s="156"/>
      <c r="G22" s="156"/>
      <c r="H22" s="156"/>
      <c r="I22" s="156"/>
      <c r="J22" s="156"/>
      <c r="K22" s="156"/>
      <c r="L22" s="157"/>
      <c r="M22" s="58"/>
    </row>
    <row r="23" spans="1:64" ht="12" customHeight="1">
      <c r="A23" s="67" t="s">
        <v>100</v>
      </c>
      <c r="B23" s="59" t="s">
        <v>124</v>
      </c>
      <c r="C23" s="153" t="s">
        <v>157</v>
      </c>
      <c r="D23" s="151"/>
      <c r="E23" s="151"/>
      <c r="F23" s="151"/>
      <c r="G23" s="151"/>
      <c r="H23" s="154"/>
      <c r="I23" s="59" t="s">
        <v>204</v>
      </c>
      <c r="J23" s="60">
        <v>373.3</v>
      </c>
      <c r="K23" s="73">
        <v>0</v>
      </c>
      <c r="L23" s="68">
        <f>J23*K23</f>
        <v>0</v>
      </c>
      <c r="M23" s="58"/>
      <c r="Z23" s="10">
        <f>IF(AQ23="5",BJ23,0)</f>
        <v>0</v>
      </c>
      <c r="AB23" s="10">
        <f>IF(AQ23="1",BH23,0)</f>
        <v>0</v>
      </c>
      <c r="AC23" s="10">
        <f>IF(AQ23="1",BI23,0)</f>
        <v>0</v>
      </c>
      <c r="AD23" s="10">
        <f>IF(AQ23="7",BH23,0)</f>
        <v>0</v>
      </c>
      <c r="AE23" s="10">
        <f>IF(AQ23="7",BI23,0)</f>
        <v>0</v>
      </c>
      <c r="AF23" s="10">
        <f>IF(AQ23="2",BH23,0)</f>
        <v>0</v>
      </c>
      <c r="AG23" s="10">
        <f>IF(AQ23="2",BI23,0)</f>
        <v>0</v>
      </c>
      <c r="AH23" s="10">
        <f>IF(AQ23="0",BJ23,0)</f>
        <v>0</v>
      </c>
      <c r="AI23" s="51"/>
      <c r="AJ23" s="49">
        <f>IF(AN23=0,L23,0)</f>
        <v>0</v>
      </c>
      <c r="AK23" s="49">
        <f>IF(AN23=15,L23,0)</f>
        <v>0</v>
      </c>
      <c r="AL23" s="49">
        <f>IF(AN23=21,L23,0)</f>
        <v>0</v>
      </c>
      <c r="AN23" s="10">
        <v>21</v>
      </c>
      <c r="AO23" s="10">
        <f>K23*0.710268088605699</f>
        <v>0</v>
      </c>
      <c r="AP23" s="10">
        <f>K23*(1-0.710268088605699)</f>
        <v>0</v>
      </c>
      <c r="AQ23" s="52" t="s">
        <v>95</v>
      </c>
      <c r="AV23" s="10">
        <f>AW23+AX23</f>
        <v>0</v>
      </c>
      <c r="AW23" s="10">
        <f>J23*AO23</f>
        <v>0</v>
      </c>
      <c r="AX23" s="10">
        <f>J23*AP23</f>
        <v>0</v>
      </c>
      <c r="AY23" s="53" t="s">
        <v>225</v>
      </c>
      <c r="AZ23" s="53" t="s">
        <v>231</v>
      </c>
      <c r="BA23" s="51" t="s">
        <v>235</v>
      </c>
      <c r="BC23" s="10">
        <f>AW23+AX23</f>
        <v>0</v>
      </c>
      <c r="BD23" s="10">
        <f>K23/(100-BE23)*100</f>
        <v>0</v>
      </c>
      <c r="BE23" s="10">
        <v>0</v>
      </c>
      <c r="BF23" s="10">
        <f>23</f>
        <v>23</v>
      </c>
      <c r="BH23" s="49">
        <f>J23*AO23</f>
        <v>0</v>
      </c>
      <c r="BI23" s="49">
        <f>J23*AP23</f>
        <v>0</v>
      </c>
      <c r="BJ23" s="49">
        <f>J23*K23</f>
        <v>0</v>
      </c>
      <c r="BK23" s="49" t="s">
        <v>12</v>
      </c>
      <c r="BL23" s="10">
        <v>27</v>
      </c>
    </row>
    <row r="24" spans="1:13" ht="12.75" customHeight="1">
      <c r="A24" s="9"/>
      <c r="B24" s="45"/>
      <c r="C24" s="155" t="s">
        <v>158</v>
      </c>
      <c r="D24" s="156"/>
      <c r="E24" s="156"/>
      <c r="F24" s="156"/>
      <c r="G24" s="156"/>
      <c r="H24" s="156"/>
      <c r="I24" s="156"/>
      <c r="J24" s="156"/>
      <c r="K24" s="156"/>
      <c r="L24" s="157"/>
      <c r="M24" s="58"/>
    </row>
    <row r="25" spans="1:13" ht="12.75" customHeight="1">
      <c r="A25" s="9"/>
      <c r="B25" s="45" t="s">
        <v>121</v>
      </c>
      <c r="C25" s="159" t="s">
        <v>159</v>
      </c>
      <c r="D25" s="160"/>
      <c r="E25" s="160"/>
      <c r="F25" s="160"/>
      <c r="G25" s="160"/>
      <c r="H25" s="160"/>
      <c r="I25" s="160"/>
      <c r="J25" s="160"/>
      <c r="K25" s="160"/>
      <c r="L25" s="161"/>
      <c r="M25" s="58"/>
    </row>
    <row r="26" spans="1:64" ht="12" customHeight="1">
      <c r="A26" s="67" t="s">
        <v>101</v>
      </c>
      <c r="B26" s="59" t="s">
        <v>125</v>
      </c>
      <c r="C26" s="153" t="s">
        <v>160</v>
      </c>
      <c r="D26" s="151"/>
      <c r="E26" s="151"/>
      <c r="F26" s="151"/>
      <c r="G26" s="151"/>
      <c r="H26" s="154"/>
      <c r="I26" s="59" t="s">
        <v>204</v>
      </c>
      <c r="J26" s="60">
        <v>373.3</v>
      </c>
      <c r="K26" s="73">
        <v>0</v>
      </c>
      <c r="L26" s="68">
        <f>J26*K26</f>
        <v>0</v>
      </c>
      <c r="M26" s="58"/>
      <c r="Z26" s="10">
        <f>IF(AQ26="5",BJ26,0)</f>
        <v>0</v>
      </c>
      <c r="AB26" s="10">
        <f>IF(AQ26="1",BH26,0)</f>
        <v>0</v>
      </c>
      <c r="AC26" s="10">
        <f>IF(AQ26="1",BI26,0)</f>
        <v>0</v>
      </c>
      <c r="AD26" s="10">
        <f>IF(AQ26="7",BH26,0)</f>
        <v>0</v>
      </c>
      <c r="AE26" s="10">
        <f>IF(AQ26="7",BI26,0)</f>
        <v>0</v>
      </c>
      <c r="AF26" s="10">
        <f>IF(AQ26="2",BH26,0)</f>
        <v>0</v>
      </c>
      <c r="AG26" s="10">
        <f>IF(AQ26="2",BI26,0)</f>
        <v>0</v>
      </c>
      <c r="AH26" s="10">
        <f>IF(AQ26="0",BJ26,0)</f>
        <v>0</v>
      </c>
      <c r="AI26" s="51"/>
      <c r="AJ26" s="49">
        <f>IF(AN26=0,L26,0)</f>
        <v>0</v>
      </c>
      <c r="AK26" s="49">
        <f>IF(AN26=15,L26,0)</f>
        <v>0</v>
      </c>
      <c r="AL26" s="49">
        <f>IF(AN26=21,L26,0)</f>
        <v>0</v>
      </c>
      <c r="AN26" s="10">
        <v>21</v>
      </c>
      <c r="AO26" s="10">
        <f>K26*0.215238095238095</f>
        <v>0</v>
      </c>
      <c r="AP26" s="10">
        <f>K26*(1-0.215238095238095)</f>
        <v>0</v>
      </c>
      <c r="AQ26" s="52" t="s">
        <v>95</v>
      </c>
      <c r="AV26" s="10">
        <f>AW26+AX26</f>
        <v>0</v>
      </c>
      <c r="AW26" s="10">
        <f>J26*AO26</f>
        <v>0</v>
      </c>
      <c r="AX26" s="10">
        <f>J26*AP26</f>
        <v>0</v>
      </c>
      <c r="AY26" s="53" t="s">
        <v>225</v>
      </c>
      <c r="AZ26" s="53" t="s">
        <v>231</v>
      </c>
      <c r="BA26" s="51" t="s">
        <v>235</v>
      </c>
      <c r="BC26" s="10">
        <f>AW26+AX26</f>
        <v>0</v>
      </c>
      <c r="BD26" s="10">
        <f>K26/(100-BE26)*100</f>
        <v>0</v>
      </c>
      <c r="BE26" s="10">
        <v>0</v>
      </c>
      <c r="BF26" s="10">
        <f>26</f>
        <v>26</v>
      </c>
      <c r="BH26" s="49">
        <f>J26*AO26</f>
        <v>0</v>
      </c>
      <c r="BI26" s="49">
        <f>J26*AP26</f>
        <v>0</v>
      </c>
      <c r="BJ26" s="49">
        <f>J26*K26</f>
        <v>0</v>
      </c>
      <c r="BK26" s="49" t="s">
        <v>12</v>
      </c>
      <c r="BL26" s="10">
        <v>27</v>
      </c>
    </row>
    <row r="27" spans="1:13" ht="12.75" customHeight="1">
      <c r="A27" s="9"/>
      <c r="B27" s="45"/>
      <c r="C27" s="155" t="s">
        <v>161</v>
      </c>
      <c r="D27" s="156"/>
      <c r="E27" s="156"/>
      <c r="F27" s="156"/>
      <c r="G27" s="156"/>
      <c r="H27" s="156"/>
      <c r="I27" s="156"/>
      <c r="J27" s="156"/>
      <c r="K27" s="156"/>
      <c r="L27" s="157"/>
      <c r="M27" s="58"/>
    </row>
    <row r="28" spans="1:64" ht="12" customHeight="1">
      <c r="A28" s="67" t="s">
        <v>102</v>
      </c>
      <c r="B28" s="59" t="s">
        <v>126</v>
      </c>
      <c r="C28" s="153" t="s">
        <v>162</v>
      </c>
      <c r="D28" s="151"/>
      <c r="E28" s="151"/>
      <c r="F28" s="151"/>
      <c r="G28" s="151"/>
      <c r="H28" s="154"/>
      <c r="I28" s="59" t="s">
        <v>204</v>
      </c>
      <c r="J28" s="60">
        <v>437.7</v>
      </c>
      <c r="K28" s="73">
        <v>0</v>
      </c>
      <c r="L28" s="68">
        <f>J28*K28</f>
        <v>0</v>
      </c>
      <c r="M28" s="58"/>
      <c r="Z28" s="10">
        <f>IF(AQ28="5",BJ28,0)</f>
        <v>0</v>
      </c>
      <c r="AB28" s="10">
        <f>IF(AQ28="1",BH28,0)</f>
        <v>0</v>
      </c>
      <c r="AC28" s="10">
        <f>IF(AQ28="1",BI28,0)</f>
        <v>0</v>
      </c>
      <c r="AD28" s="10">
        <f>IF(AQ28="7",BH28,0)</f>
        <v>0</v>
      </c>
      <c r="AE28" s="10">
        <f>IF(AQ28="7",BI28,0)</f>
        <v>0</v>
      </c>
      <c r="AF28" s="10">
        <f>IF(AQ28="2",BH28,0)</f>
        <v>0</v>
      </c>
      <c r="AG28" s="10">
        <f>IF(AQ28="2",BI28,0)</f>
        <v>0</v>
      </c>
      <c r="AH28" s="10">
        <f>IF(AQ28="0",BJ28,0)</f>
        <v>0</v>
      </c>
      <c r="AI28" s="51"/>
      <c r="AJ28" s="49">
        <f>IF(AN28=0,L28,0)</f>
        <v>0</v>
      </c>
      <c r="AK28" s="49">
        <f>IF(AN28=15,L28,0)</f>
        <v>0</v>
      </c>
      <c r="AL28" s="49">
        <f>IF(AN28=21,L28,0)</f>
        <v>0</v>
      </c>
      <c r="AN28" s="10">
        <v>21</v>
      </c>
      <c r="AO28" s="10">
        <f>K28*0.343473684210526</f>
        <v>0</v>
      </c>
      <c r="AP28" s="10">
        <f>K28*(1-0.343473684210526)</f>
        <v>0</v>
      </c>
      <c r="AQ28" s="52" t="s">
        <v>95</v>
      </c>
      <c r="AV28" s="10">
        <f>AW28+AX28</f>
        <v>0</v>
      </c>
      <c r="AW28" s="10">
        <f>J28*AO28</f>
        <v>0</v>
      </c>
      <c r="AX28" s="10">
        <f>J28*AP28</f>
        <v>0</v>
      </c>
      <c r="AY28" s="53" t="s">
        <v>225</v>
      </c>
      <c r="AZ28" s="53" t="s">
        <v>231</v>
      </c>
      <c r="BA28" s="51" t="s">
        <v>235</v>
      </c>
      <c r="BC28" s="10">
        <f>AW28+AX28</f>
        <v>0</v>
      </c>
      <c r="BD28" s="10">
        <f>K28/(100-BE28)*100</f>
        <v>0</v>
      </c>
      <c r="BE28" s="10">
        <v>0</v>
      </c>
      <c r="BF28" s="10">
        <f>28</f>
        <v>28</v>
      </c>
      <c r="BH28" s="49">
        <f>J28*AO28</f>
        <v>0</v>
      </c>
      <c r="BI28" s="49">
        <f>J28*AP28</f>
        <v>0</v>
      </c>
      <c r="BJ28" s="49">
        <f>J28*K28</f>
        <v>0</v>
      </c>
      <c r="BK28" s="49" t="s">
        <v>12</v>
      </c>
      <c r="BL28" s="10">
        <v>27</v>
      </c>
    </row>
    <row r="29" spans="1:13" ht="12.75" customHeight="1">
      <c r="A29" s="9"/>
      <c r="B29" s="45"/>
      <c r="C29" s="155" t="s">
        <v>163</v>
      </c>
      <c r="D29" s="156"/>
      <c r="E29" s="156"/>
      <c r="F29" s="156"/>
      <c r="G29" s="156"/>
      <c r="H29" s="156"/>
      <c r="I29" s="156"/>
      <c r="J29" s="156"/>
      <c r="K29" s="156"/>
      <c r="L29" s="157"/>
      <c r="M29" s="58"/>
    </row>
    <row r="30" spans="1:13" ht="12.75" customHeight="1">
      <c r="A30" s="9"/>
      <c r="B30" s="45" t="s">
        <v>121</v>
      </c>
      <c r="C30" s="159" t="s">
        <v>164</v>
      </c>
      <c r="D30" s="160"/>
      <c r="E30" s="160"/>
      <c r="F30" s="160"/>
      <c r="G30" s="160"/>
      <c r="H30" s="160"/>
      <c r="I30" s="160"/>
      <c r="J30" s="160"/>
      <c r="K30" s="160"/>
      <c r="L30" s="161"/>
      <c r="M30" s="58"/>
    </row>
    <row r="31" spans="1:64" ht="12" customHeight="1">
      <c r="A31" s="67" t="s">
        <v>103</v>
      </c>
      <c r="B31" s="59" t="s">
        <v>126</v>
      </c>
      <c r="C31" s="153" t="s">
        <v>165</v>
      </c>
      <c r="D31" s="151"/>
      <c r="E31" s="151"/>
      <c r="F31" s="151"/>
      <c r="G31" s="151"/>
      <c r="H31" s="154"/>
      <c r="I31" s="59" t="s">
        <v>204</v>
      </c>
      <c r="J31" s="60">
        <v>135.5</v>
      </c>
      <c r="K31" s="73">
        <v>0</v>
      </c>
      <c r="L31" s="68">
        <f>J31*K31</f>
        <v>0</v>
      </c>
      <c r="M31" s="58"/>
      <c r="Z31" s="10">
        <f>IF(AQ31="5",BJ31,0)</f>
        <v>0</v>
      </c>
      <c r="AB31" s="10">
        <f>IF(AQ31="1",BH31,0)</f>
        <v>0</v>
      </c>
      <c r="AC31" s="10">
        <f>IF(AQ31="1",BI31,0)</f>
        <v>0</v>
      </c>
      <c r="AD31" s="10">
        <f>IF(AQ31="7",BH31,0)</f>
        <v>0</v>
      </c>
      <c r="AE31" s="10">
        <f>IF(AQ31="7",BI31,0)</f>
        <v>0</v>
      </c>
      <c r="AF31" s="10">
        <f>IF(AQ31="2",BH31,0)</f>
        <v>0</v>
      </c>
      <c r="AG31" s="10">
        <f>IF(AQ31="2",BI31,0)</f>
        <v>0</v>
      </c>
      <c r="AH31" s="10">
        <f>IF(AQ31="0",BJ31,0)</f>
        <v>0</v>
      </c>
      <c r="AI31" s="51"/>
      <c r="AJ31" s="49">
        <f>IF(AN31=0,L31,0)</f>
        <v>0</v>
      </c>
      <c r="AK31" s="49">
        <f>IF(AN31=15,L31,0)</f>
        <v>0</v>
      </c>
      <c r="AL31" s="49">
        <f>IF(AN31=21,L31,0)</f>
        <v>0</v>
      </c>
      <c r="AN31" s="10">
        <v>21</v>
      </c>
      <c r="AO31" s="10">
        <f>K31*0.34346835443038</f>
        <v>0</v>
      </c>
      <c r="AP31" s="10">
        <f>K31*(1-0.34346835443038)</f>
        <v>0</v>
      </c>
      <c r="AQ31" s="52" t="s">
        <v>95</v>
      </c>
      <c r="AV31" s="10">
        <f>AW31+AX31</f>
        <v>0</v>
      </c>
      <c r="AW31" s="10">
        <f>J31*AO31</f>
        <v>0</v>
      </c>
      <c r="AX31" s="10">
        <f>J31*AP31</f>
        <v>0</v>
      </c>
      <c r="AY31" s="53" t="s">
        <v>225</v>
      </c>
      <c r="AZ31" s="53" t="s">
        <v>231</v>
      </c>
      <c r="BA31" s="51" t="s">
        <v>235</v>
      </c>
      <c r="BC31" s="10">
        <f>AW31+AX31</f>
        <v>0</v>
      </c>
      <c r="BD31" s="10">
        <f>K31/(100-BE31)*100</f>
        <v>0</v>
      </c>
      <c r="BE31" s="10">
        <v>0</v>
      </c>
      <c r="BF31" s="10">
        <f>31</f>
        <v>31</v>
      </c>
      <c r="BH31" s="49">
        <f>J31*AO31</f>
        <v>0</v>
      </c>
      <c r="BI31" s="49">
        <f>J31*AP31</f>
        <v>0</v>
      </c>
      <c r="BJ31" s="49">
        <f>J31*K31</f>
        <v>0</v>
      </c>
      <c r="BK31" s="49" t="s">
        <v>12</v>
      </c>
      <c r="BL31" s="10">
        <v>27</v>
      </c>
    </row>
    <row r="32" spans="1:13" ht="25.5" customHeight="1">
      <c r="A32" s="9"/>
      <c r="B32" s="45"/>
      <c r="C32" s="155" t="s">
        <v>166</v>
      </c>
      <c r="D32" s="156"/>
      <c r="E32" s="156"/>
      <c r="F32" s="156"/>
      <c r="G32" s="156"/>
      <c r="H32" s="156"/>
      <c r="I32" s="156"/>
      <c r="J32" s="156"/>
      <c r="K32" s="156"/>
      <c r="L32" s="157"/>
      <c r="M32" s="58"/>
    </row>
    <row r="33" spans="1:13" ht="25.5" customHeight="1">
      <c r="A33" s="9"/>
      <c r="B33" s="45" t="s">
        <v>121</v>
      </c>
      <c r="C33" s="159" t="s">
        <v>167</v>
      </c>
      <c r="D33" s="160"/>
      <c r="E33" s="160"/>
      <c r="F33" s="160"/>
      <c r="G33" s="160"/>
      <c r="H33" s="160"/>
      <c r="I33" s="160"/>
      <c r="J33" s="160"/>
      <c r="K33" s="160"/>
      <c r="L33" s="161"/>
      <c r="M33" s="58"/>
    </row>
    <row r="34" spans="1:64" ht="12" customHeight="1">
      <c r="A34" s="67" t="s">
        <v>104</v>
      </c>
      <c r="B34" s="59" t="s">
        <v>127</v>
      </c>
      <c r="C34" s="153" t="s">
        <v>168</v>
      </c>
      <c r="D34" s="151"/>
      <c r="E34" s="151"/>
      <c r="F34" s="151"/>
      <c r="G34" s="151"/>
      <c r="H34" s="154"/>
      <c r="I34" s="59" t="s">
        <v>204</v>
      </c>
      <c r="J34" s="60">
        <v>30.42</v>
      </c>
      <c r="K34" s="73">
        <v>0</v>
      </c>
      <c r="L34" s="68">
        <f>J34*K34</f>
        <v>0</v>
      </c>
      <c r="M34" s="58"/>
      <c r="Z34" s="10">
        <f>IF(AQ34="5",BJ34,0)</f>
        <v>0</v>
      </c>
      <c r="AB34" s="10">
        <f>IF(AQ34="1",BH34,0)</f>
        <v>0</v>
      </c>
      <c r="AC34" s="10">
        <f>IF(AQ34="1",BI34,0)</f>
        <v>0</v>
      </c>
      <c r="AD34" s="10">
        <f>IF(AQ34="7",BH34,0)</f>
        <v>0</v>
      </c>
      <c r="AE34" s="10">
        <f>IF(AQ34="7",BI34,0)</f>
        <v>0</v>
      </c>
      <c r="AF34" s="10">
        <f>IF(AQ34="2",BH34,0)</f>
        <v>0</v>
      </c>
      <c r="AG34" s="10">
        <f>IF(AQ34="2",BI34,0)</f>
        <v>0</v>
      </c>
      <c r="AH34" s="10">
        <f>IF(AQ34="0",BJ34,0)</f>
        <v>0</v>
      </c>
      <c r="AI34" s="51"/>
      <c r="AJ34" s="49">
        <f>IF(AN34=0,L34,0)</f>
        <v>0</v>
      </c>
      <c r="AK34" s="49">
        <f>IF(AN34=15,L34,0)</f>
        <v>0</v>
      </c>
      <c r="AL34" s="49">
        <f>IF(AN34=21,L34,0)</f>
        <v>0</v>
      </c>
      <c r="AN34" s="10">
        <v>21</v>
      </c>
      <c r="AO34" s="10">
        <f>K34*0.141321423685531</f>
        <v>0</v>
      </c>
      <c r="AP34" s="10">
        <f>K34*(1-0.141321423685531)</f>
        <v>0</v>
      </c>
      <c r="AQ34" s="52" t="s">
        <v>95</v>
      </c>
      <c r="AV34" s="10">
        <f>AW34+AX34</f>
        <v>0</v>
      </c>
      <c r="AW34" s="10">
        <f>J34*AO34</f>
        <v>0</v>
      </c>
      <c r="AX34" s="10">
        <f>J34*AP34</f>
        <v>0</v>
      </c>
      <c r="AY34" s="53" t="s">
        <v>225</v>
      </c>
      <c r="AZ34" s="53" t="s">
        <v>231</v>
      </c>
      <c r="BA34" s="51" t="s">
        <v>235</v>
      </c>
      <c r="BC34" s="10">
        <f>AW34+AX34</f>
        <v>0</v>
      </c>
      <c r="BD34" s="10">
        <f>K34/(100-BE34)*100</f>
        <v>0</v>
      </c>
      <c r="BE34" s="10">
        <v>0</v>
      </c>
      <c r="BF34" s="10">
        <f>34</f>
        <v>34</v>
      </c>
      <c r="BH34" s="49">
        <f>J34*AO34</f>
        <v>0</v>
      </c>
      <c r="BI34" s="49">
        <f>J34*AP34</f>
        <v>0</v>
      </c>
      <c r="BJ34" s="49">
        <f>J34*K34</f>
        <v>0</v>
      </c>
      <c r="BK34" s="49" t="s">
        <v>12</v>
      </c>
      <c r="BL34" s="10">
        <v>27</v>
      </c>
    </row>
    <row r="35" spans="1:13" ht="25.5" customHeight="1">
      <c r="A35" s="9"/>
      <c r="B35" s="45"/>
      <c r="C35" s="155" t="s">
        <v>169</v>
      </c>
      <c r="D35" s="156"/>
      <c r="E35" s="156"/>
      <c r="F35" s="156"/>
      <c r="G35" s="156"/>
      <c r="H35" s="156"/>
      <c r="I35" s="156"/>
      <c r="J35" s="156"/>
      <c r="K35" s="156"/>
      <c r="L35" s="157"/>
      <c r="M35" s="58"/>
    </row>
    <row r="36" spans="1:13" ht="12.75" customHeight="1">
      <c r="A36" s="9"/>
      <c r="B36" s="45" t="s">
        <v>121</v>
      </c>
      <c r="C36" s="159" t="s">
        <v>170</v>
      </c>
      <c r="D36" s="160"/>
      <c r="E36" s="160"/>
      <c r="F36" s="160"/>
      <c r="G36" s="160"/>
      <c r="H36" s="160"/>
      <c r="I36" s="160"/>
      <c r="J36" s="160"/>
      <c r="K36" s="160"/>
      <c r="L36" s="161"/>
      <c r="M36" s="58"/>
    </row>
    <row r="37" spans="1:64" ht="12" customHeight="1">
      <c r="A37" s="67" t="s">
        <v>105</v>
      </c>
      <c r="B37" s="59" t="s">
        <v>128</v>
      </c>
      <c r="C37" s="153" t="s">
        <v>171</v>
      </c>
      <c r="D37" s="151"/>
      <c r="E37" s="151"/>
      <c r="F37" s="151"/>
      <c r="G37" s="151"/>
      <c r="H37" s="154"/>
      <c r="I37" s="59" t="s">
        <v>204</v>
      </c>
      <c r="J37" s="60">
        <v>30.42</v>
      </c>
      <c r="K37" s="73">
        <v>0</v>
      </c>
      <c r="L37" s="68">
        <f>J37*K37</f>
        <v>0</v>
      </c>
      <c r="M37" s="58"/>
      <c r="Z37" s="10">
        <f>IF(AQ37="5",BJ37,0)</f>
        <v>0</v>
      </c>
      <c r="AB37" s="10">
        <f>IF(AQ37="1",BH37,0)</f>
        <v>0</v>
      </c>
      <c r="AC37" s="10">
        <f>IF(AQ37="1",BI37,0)</f>
        <v>0</v>
      </c>
      <c r="AD37" s="10">
        <f>IF(AQ37="7",BH37,0)</f>
        <v>0</v>
      </c>
      <c r="AE37" s="10">
        <f>IF(AQ37="7",BI37,0)</f>
        <v>0</v>
      </c>
      <c r="AF37" s="10">
        <f>IF(AQ37="2",BH37,0)</f>
        <v>0</v>
      </c>
      <c r="AG37" s="10">
        <f>IF(AQ37="2",BI37,0)</f>
        <v>0</v>
      </c>
      <c r="AH37" s="10">
        <f>IF(AQ37="0",BJ37,0)</f>
        <v>0</v>
      </c>
      <c r="AI37" s="51"/>
      <c r="AJ37" s="49">
        <f>IF(AN37=0,L37,0)</f>
        <v>0</v>
      </c>
      <c r="AK37" s="49">
        <f>IF(AN37=15,L37,0)</f>
        <v>0</v>
      </c>
      <c r="AL37" s="49">
        <f>IF(AN37=21,L37,0)</f>
        <v>0</v>
      </c>
      <c r="AN37" s="10">
        <v>21</v>
      </c>
      <c r="AO37" s="10">
        <f>K37*0.567723076923077</f>
        <v>0</v>
      </c>
      <c r="AP37" s="10">
        <f>K37*(1-0.567723076923077)</f>
        <v>0</v>
      </c>
      <c r="AQ37" s="52" t="s">
        <v>95</v>
      </c>
      <c r="AV37" s="10">
        <f>AW37+AX37</f>
        <v>0</v>
      </c>
      <c r="AW37" s="10">
        <f>J37*AO37</f>
        <v>0</v>
      </c>
      <c r="AX37" s="10">
        <f>J37*AP37</f>
        <v>0</v>
      </c>
      <c r="AY37" s="53" t="s">
        <v>225</v>
      </c>
      <c r="AZ37" s="53" t="s">
        <v>231</v>
      </c>
      <c r="BA37" s="51" t="s">
        <v>235</v>
      </c>
      <c r="BC37" s="10">
        <f>AW37+AX37</f>
        <v>0</v>
      </c>
      <c r="BD37" s="10">
        <f>K37/(100-BE37)*100</f>
        <v>0</v>
      </c>
      <c r="BE37" s="10">
        <v>0</v>
      </c>
      <c r="BF37" s="10">
        <f>37</f>
        <v>37</v>
      </c>
      <c r="BH37" s="49">
        <f>J37*AO37</f>
        <v>0</v>
      </c>
      <c r="BI37" s="49">
        <f>J37*AP37</f>
        <v>0</v>
      </c>
      <c r="BJ37" s="49">
        <f>J37*K37</f>
        <v>0</v>
      </c>
      <c r="BK37" s="49" t="s">
        <v>12</v>
      </c>
      <c r="BL37" s="10">
        <v>27</v>
      </c>
    </row>
    <row r="38" spans="1:13" ht="12.75" customHeight="1">
      <c r="A38" s="9"/>
      <c r="B38" s="45"/>
      <c r="C38" s="155" t="s">
        <v>172</v>
      </c>
      <c r="D38" s="156"/>
      <c r="E38" s="156"/>
      <c r="F38" s="156"/>
      <c r="G38" s="156"/>
      <c r="H38" s="156"/>
      <c r="I38" s="156"/>
      <c r="J38" s="156"/>
      <c r="K38" s="156"/>
      <c r="L38" s="157"/>
      <c r="M38" s="58"/>
    </row>
    <row r="39" spans="1:64" ht="12" customHeight="1">
      <c r="A39" s="40" t="s">
        <v>106</v>
      </c>
      <c r="B39" s="44" t="s">
        <v>129</v>
      </c>
      <c r="C39" s="158" t="s">
        <v>173</v>
      </c>
      <c r="D39" s="151"/>
      <c r="E39" s="151"/>
      <c r="F39" s="151"/>
      <c r="G39" s="151"/>
      <c r="H39" s="151"/>
      <c r="I39" s="44" t="s">
        <v>204</v>
      </c>
      <c r="J39" s="49">
        <v>48.6</v>
      </c>
      <c r="K39" s="73">
        <v>0</v>
      </c>
      <c r="L39" s="55">
        <f>J39*K39</f>
        <v>0</v>
      </c>
      <c r="M39" s="58"/>
      <c r="Z39" s="10">
        <f>IF(AQ39="5",BJ39,0)</f>
        <v>0</v>
      </c>
      <c r="AB39" s="10">
        <f>IF(AQ39="1",BH39,0)</f>
        <v>0</v>
      </c>
      <c r="AC39" s="10">
        <f>IF(AQ39="1",BI39,0)</f>
        <v>0</v>
      </c>
      <c r="AD39" s="10">
        <f>IF(AQ39="7",BH39,0)</f>
        <v>0</v>
      </c>
      <c r="AE39" s="10">
        <f>IF(AQ39="7",BI39,0)</f>
        <v>0</v>
      </c>
      <c r="AF39" s="10">
        <f>IF(AQ39="2",BH39,0)</f>
        <v>0</v>
      </c>
      <c r="AG39" s="10">
        <f>IF(AQ39="2",BI39,0)</f>
        <v>0</v>
      </c>
      <c r="AH39" s="10">
        <f>IF(AQ39="0",BJ39,0)</f>
        <v>0</v>
      </c>
      <c r="AI39" s="51"/>
      <c r="AJ39" s="49">
        <f>IF(AN39=0,L39,0)</f>
        <v>0</v>
      </c>
      <c r="AK39" s="49">
        <f>IF(AN39=15,L39,0)</f>
        <v>0</v>
      </c>
      <c r="AL39" s="49">
        <f>IF(AN39=21,L39,0)</f>
        <v>0</v>
      </c>
      <c r="AN39" s="10">
        <v>21</v>
      </c>
      <c r="AO39" s="10">
        <f>K39*0.116510260709193</f>
        <v>0</v>
      </c>
      <c r="AP39" s="10">
        <f>K39*(1-0.116510260709193)</f>
        <v>0</v>
      </c>
      <c r="AQ39" s="52" t="s">
        <v>95</v>
      </c>
      <c r="AV39" s="10">
        <f>AW39+AX39</f>
        <v>0</v>
      </c>
      <c r="AW39" s="10">
        <f>J39*AO39</f>
        <v>0</v>
      </c>
      <c r="AX39" s="10">
        <f>J39*AP39</f>
        <v>0</v>
      </c>
      <c r="AY39" s="53" t="s">
        <v>225</v>
      </c>
      <c r="AZ39" s="53" t="s">
        <v>231</v>
      </c>
      <c r="BA39" s="51" t="s">
        <v>235</v>
      </c>
      <c r="BC39" s="10">
        <f>AW39+AX39</f>
        <v>0</v>
      </c>
      <c r="BD39" s="10">
        <f>K39/(100-BE39)*100</f>
        <v>0</v>
      </c>
      <c r="BE39" s="10">
        <v>0</v>
      </c>
      <c r="BF39" s="10">
        <f>39</f>
        <v>39</v>
      </c>
      <c r="BH39" s="49">
        <f>J39*AO39</f>
        <v>0</v>
      </c>
      <c r="BI39" s="49">
        <f>J39*AP39</f>
        <v>0</v>
      </c>
      <c r="BJ39" s="49">
        <f>J39*K39</f>
        <v>0</v>
      </c>
      <c r="BK39" s="49" t="s">
        <v>12</v>
      </c>
      <c r="BL39" s="10">
        <v>27</v>
      </c>
    </row>
    <row r="40" spans="1:13" ht="25.5" customHeight="1">
      <c r="A40" s="9"/>
      <c r="B40" s="45"/>
      <c r="C40" s="155" t="s">
        <v>174</v>
      </c>
      <c r="D40" s="156"/>
      <c r="E40" s="156"/>
      <c r="F40" s="156"/>
      <c r="G40" s="156"/>
      <c r="H40" s="156"/>
      <c r="I40" s="156"/>
      <c r="J40" s="156"/>
      <c r="K40" s="156"/>
      <c r="L40" s="157"/>
      <c r="M40" s="58"/>
    </row>
    <row r="41" spans="1:64" ht="12" customHeight="1">
      <c r="A41" s="40" t="s">
        <v>107</v>
      </c>
      <c r="B41" s="44" t="s">
        <v>130</v>
      </c>
      <c r="C41" s="158" t="s">
        <v>175</v>
      </c>
      <c r="D41" s="151"/>
      <c r="E41" s="151"/>
      <c r="F41" s="151"/>
      <c r="G41" s="151"/>
      <c r="H41" s="151"/>
      <c r="I41" s="44" t="s">
        <v>205</v>
      </c>
      <c r="J41" s="49">
        <v>10</v>
      </c>
      <c r="K41" s="73">
        <v>0</v>
      </c>
      <c r="L41" s="55">
        <f>J41*K41</f>
        <v>0</v>
      </c>
      <c r="M41" s="58"/>
      <c r="Z41" s="10">
        <f>IF(AQ41="5",BJ41,0)</f>
        <v>0</v>
      </c>
      <c r="AB41" s="10">
        <f>IF(AQ41="1",BH41,0)</f>
        <v>0</v>
      </c>
      <c r="AC41" s="10">
        <f>IF(AQ41="1",BI41,0)</f>
        <v>0</v>
      </c>
      <c r="AD41" s="10">
        <f>IF(AQ41="7",BH41,0)</f>
        <v>0</v>
      </c>
      <c r="AE41" s="10">
        <f>IF(AQ41="7",BI41,0)</f>
        <v>0</v>
      </c>
      <c r="AF41" s="10">
        <f>IF(AQ41="2",BH41,0)</f>
        <v>0</v>
      </c>
      <c r="AG41" s="10">
        <f>IF(AQ41="2",BI41,0)</f>
        <v>0</v>
      </c>
      <c r="AH41" s="10">
        <f>IF(AQ41="0",BJ41,0)</f>
        <v>0</v>
      </c>
      <c r="AI41" s="51"/>
      <c r="AJ41" s="49">
        <f>IF(AN41=0,L41,0)</f>
        <v>0</v>
      </c>
      <c r="AK41" s="49">
        <f>IF(AN41=15,L41,0)</f>
        <v>0</v>
      </c>
      <c r="AL41" s="49">
        <f>IF(AN41=21,L41,0)</f>
        <v>0</v>
      </c>
      <c r="AN41" s="10">
        <v>21</v>
      </c>
      <c r="AO41" s="10">
        <f>K41*0</f>
        <v>0</v>
      </c>
      <c r="AP41" s="10">
        <f>K41*(1-0)</f>
        <v>0</v>
      </c>
      <c r="AQ41" s="52" t="s">
        <v>95</v>
      </c>
      <c r="AV41" s="10">
        <f>AW41+AX41</f>
        <v>0</v>
      </c>
      <c r="AW41" s="10">
        <f>J41*AO41</f>
        <v>0</v>
      </c>
      <c r="AX41" s="10">
        <f>J41*AP41</f>
        <v>0</v>
      </c>
      <c r="AY41" s="53" t="s">
        <v>225</v>
      </c>
      <c r="AZ41" s="53" t="s">
        <v>231</v>
      </c>
      <c r="BA41" s="51" t="s">
        <v>235</v>
      </c>
      <c r="BC41" s="10">
        <f>AW41+AX41</f>
        <v>0</v>
      </c>
      <c r="BD41" s="10">
        <f>K41/(100-BE41)*100</f>
        <v>0</v>
      </c>
      <c r="BE41" s="10">
        <v>0</v>
      </c>
      <c r="BF41" s="10">
        <f>41</f>
        <v>41</v>
      </c>
      <c r="BH41" s="49">
        <f>J41*AO41</f>
        <v>0</v>
      </c>
      <c r="BI41" s="49">
        <f>J41*AP41</f>
        <v>0</v>
      </c>
      <c r="BJ41" s="49">
        <f>J41*K41</f>
        <v>0</v>
      </c>
      <c r="BK41" s="49" t="s">
        <v>12</v>
      </c>
      <c r="BL41" s="10">
        <v>27</v>
      </c>
    </row>
    <row r="42" spans="1:13" ht="12.75" customHeight="1">
      <c r="A42" s="9"/>
      <c r="B42" s="45"/>
      <c r="C42" s="155" t="s">
        <v>176</v>
      </c>
      <c r="D42" s="156"/>
      <c r="E42" s="156"/>
      <c r="F42" s="156"/>
      <c r="G42" s="156"/>
      <c r="H42" s="156"/>
      <c r="I42" s="156"/>
      <c r="J42" s="156"/>
      <c r="K42" s="156"/>
      <c r="L42" s="157"/>
      <c r="M42" s="58"/>
    </row>
    <row r="43" spans="1:47" ht="12" customHeight="1">
      <c r="A43" s="41"/>
      <c r="B43" s="46" t="s">
        <v>8</v>
      </c>
      <c r="C43" s="145" t="s">
        <v>15</v>
      </c>
      <c r="D43" s="146"/>
      <c r="E43" s="146"/>
      <c r="F43" s="146"/>
      <c r="G43" s="146"/>
      <c r="H43" s="146"/>
      <c r="I43" s="47" t="s">
        <v>94</v>
      </c>
      <c r="J43" s="47" t="s">
        <v>94</v>
      </c>
      <c r="K43" s="47" t="s">
        <v>94</v>
      </c>
      <c r="L43" s="56">
        <f>SUM(L44:L44)</f>
        <v>0</v>
      </c>
      <c r="M43" s="58"/>
      <c r="AI43" s="51"/>
      <c r="AS43" s="57">
        <f>SUM(AJ44:AJ44)</f>
        <v>0</v>
      </c>
      <c r="AT43" s="57">
        <f>SUM(AK44:AK44)</f>
        <v>0</v>
      </c>
      <c r="AU43" s="57">
        <f>SUM(AL44:AL44)</f>
        <v>0</v>
      </c>
    </row>
    <row r="44" spans="1:64" ht="12" customHeight="1">
      <c r="A44" s="40" t="s">
        <v>108</v>
      </c>
      <c r="B44" s="44" t="s">
        <v>131</v>
      </c>
      <c r="C44" s="158" t="s">
        <v>177</v>
      </c>
      <c r="D44" s="151"/>
      <c r="E44" s="151"/>
      <c r="F44" s="151"/>
      <c r="G44" s="151"/>
      <c r="H44" s="151"/>
      <c r="I44" s="44" t="s">
        <v>204</v>
      </c>
      <c r="J44" s="49">
        <v>185</v>
      </c>
      <c r="K44" s="73">
        <v>0</v>
      </c>
      <c r="L44" s="55">
        <f>J44*K44</f>
        <v>0</v>
      </c>
      <c r="M44" s="58"/>
      <c r="Z44" s="10">
        <f>IF(AQ44="5",BJ44,0)</f>
        <v>0</v>
      </c>
      <c r="AB44" s="10">
        <f>IF(AQ44="1",BH44,0)</f>
        <v>0</v>
      </c>
      <c r="AC44" s="10">
        <f>IF(AQ44="1",BI44,0)</f>
        <v>0</v>
      </c>
      <c r="AD44" s="10">
        <f>IF(AQ44="7",BH44,0)</f>
        <v>0</v>
      </c>
      <c r="AE44" s="10">
        <f>IF(AQ44="7",BI44,0)</f>
        <v>0</v>
      </c>
      <c r="AF44" s="10">
        <f>IF(AQ44="2",BH44,0)</f>
        <v>0</v>
      </c>
      <c r="AG44" s="10">
        <f>IF(AQ44="2",BI44,0)</f>
        <v>0</v>
      </c>
      <c r="AH44" s="10">
        <f>IF(AQ44="0",BJ44,0)</f>
        <v>0</v>
      </c>
      <c r="AI44" s="51"/>
      <c r="AJ44" s="49">
        <f>IF(AN44=0,L44,0)</f>
        <v>0</v>
      </c>
      <c r="AK44" s="49">
        <f>IF(AN44=15,L44,0)</f>
        <v>0</v>
      </c>
      <c r="AL44" s="49">
        <f>IF(AN44=21,L44,0)</f>
        <v>0</v>
      </c>
      <c r="AN44" s="10">
        <v>21</v>
      </c>
      <c r="AO44" s="10">
        <f>K44*0.700455696202532</f>
        <v>0</v>
      </c>
      <c r="AP44" s="10">
        <f>K44*(1-0.700455696202532)</f>
        <v>0</v>
      </c>
      <c r="AQ44" s="52" t="s">
        <v>95</v>
      </c>
      <c r="AV44" s="10">
        <f>AW44+AX44</f>
        <v>0</v>
      </c>
      <c r="AW44" s="10">
        <f>J44*AO44</f>
        <v>0</v>
      </c>
      <c r="AX44" s="10">
        <f>J44*AP44</f>
        <v>0</v>
      </c>
      <c r="AY44" s="53" t="s">
        <v>226</v>
      </c>
      <c r="AZ44" s="53" t="s">
        <v>232</v>
      </c>
      <c r="BA44" s="51" t="s">
        <v>235</v>
      </c>
      <c r="BC44" s="10">
        <f>AW44+AX44</f>
        <v>0</v>
      </c>
      <c r="BD44" s="10">
        <f>K44/(100-BE44)*100</f>
        <v>0</v>
      </c>
      <c r="BE44" s="10">
        <v>0</v>
      </c>
      <c r="BF44" s="10">
        <f>44</f>
        <v>44</v>
      </c>
      <c r="BH44" s="49">
        <f>J44*AO44</f>
        <v>0</v>
      </c>
      <c r="BI44" s="49">
        <f>J44*AP44</f>
        <v>0</v>
      </c>
      <c r="BJ44" s="49">
        <f>J44*K44</f>
        <v>0</v>
      </c>
      <c r="BK44" s="49" t="s">
        <v>12</v>
      </c>
      <c r="BL44" s="10">
        <v>63</v>
      </c>
    </row>
    <row r="45" spans="1:13" ht="12.75" customHeight="1">
      <c r="A45" s="9"/>
      <c r="B45" s="45"/>
      <c r="C45" s="155" t="s">
        <v>178</v>
      </c>
      <c r="D45" s="156"/>
      <c r="E45" s="156"/>
      <c r="F45" s="156"/>
      <c r="G45" s="156"/>
      <c r="H45" s="156"/>
      <c r="I45" s="156"/>
      <c r="J45" s="156"/>
      <c r="K45" s="156"/>
      <c r="L45" s="157"/>
      <c r="M45" s="58"/>
    </row>
    <row r="46" spans="1:13" ht="12.75" customHeight="1">
      <c r="A46" s="9"/>
      <c r="B46" s="45" t="s">
        <v>121</v>
      </c>
      <c r="C46" s="159" t="s">
        <v>179</v>
      </c>
      <c r="D46" s="160"/>
      <c r="E46" s="160"/>
      <c r="F46" s="160"/>
      <c r="G46" s="160"/>
      <c r="H46" s="160"/>
      <c r="I46" s="160"/>
      <c r="J46" s="160"/>
      <c r="K46" s="160"/>
      <c r="L46" s="161"/>
      <c r="M46" s="58"/>
    </row>
    <row r="47" spans="1:47" ht="12" customHeight="1">
      <c r="A47" s="41"/>
      <c r="B47" s="46" t="s">
        <v>9</v>
      </c>
      <c r="C47" s="145" t="s">
        <v>16</v>
      </c>
      <c r="D47" s="146"/>
      <c r="E47" s="146"/>
      <c r="F47" s="146"/>
      <c r="G47" s="146"/>
      <c r="H47" s="146"/>
      <c r="I47" s="47" t="s">
        <v>94</v>
      </c>
      <c r="J47" s="47" t="s">
        <v>94</v>
      </c>
      <c r="K47" s="47" t="s">
        <v>94</v>
      </c>
      <c r="L47" s="56">
        <f>SUM(L48:L50)</f>
        <v>0</v>
      </c>
      <c r="M47" s="58"/>
      <c r="AI47" s="51"/>
      <c r="AS47" s="57">
        <f>SUM(AJ48:AJ50)</f>
        <v>0</v>
      </c>
      <c r="AT47" s="57">
        <f>SUM(AK48:AK50)</f>
        <v>0</v>
      </c>
      <c r="AU47" s="57">
        <f>SUM(AL48:AL50)</f>
        <v>0</v>
      </c>
    </row>
    <row r="48" spans="1:64" ht="12" customHeight="1">
      <c r="A48" s="67" t="s">
        <v>109</v>
      </c>
      <c r="B48" s="59" t="s">
        <v>132</v>
      </c>
      <c r="C48" s="153" t="s">
        <v>180</v>
      </c>
      <c r="D48" s="151"/>
      <c r="E48" s="151"/>
      <c r="F48" s="151"/>
      <c r="G48" s="151"/>
      <c r="H48" s="154"/>
      <c r="I48" s="59" t="s">
        <v>204</v>
      </c>
      <c r="J48" s="60">
        <v>15</v>
      </c>
      <c r="K48" s="73">
        <v>0</v>
      </c>
      <c r="L48" s="68">
        <f>J48*K48</f>
        <v>0</v>
      </c>
      <c r="M48" s="58"/>
      <c r="Z48" s="10">
        <f>IF(AQ48="5",BJ48,0)</f>
        <v>0</v>
      </c>
      <c r="AB48" s="10">
        <f>IF(AQ48="1",BH48,0)</f>
        <v>0</v>
      </c>
      <c r="AC48" s="10">
        <f>IF(AQ48="1",BI48,0)</f>
        <v>0</v>
      </c>
      <c r="AD48" s="10">
        <f>IF(AQ48="7",BH48,0)</f>
        <v>0</v>
      </c>
      <c r="AE48" s="10">
        <f>IF(AQ48="7",BI48,0)</f>
        <v>0</v>
      </c>
      <c r="AF48" s="10">
        <f>IF(AQ48="2",BH48,0)</f>
        <v>0</v>
      </c>
      <c r="AG48" s="10">
        <f>IF(AQ48="2",BI48,0)</f>
        <v>0</v>
      </c>
      <c r="AH48" s="10">
        <f>IF(AQ48="0",BJ48,0)</f>
        <v>0</v>
      </c>
      <c r="AI48" s="51"/>
      <c r="AJ48" s="49">
        <f>IF(AN48=0,L48,0)</f>
        <v>0</v>
      </c>
      <c r="AK48" s="49">
        <f>IF(AN48=15,L48,0)</f>
        <v>0</v>
      </c>
      <c r="AL48" s="49">
        <f>IF(AN48=21,L48,0)</f>
        <v>0</v>
      </c>
      <c r="AN48" s="10">
        <v>21</v>
      </c>
      <c r="AO48" s="10">
        <f>K48*0.118213058419244</f>
        <v>0</v>
      </c>
      <c r="AP48" s="10">
        <f>K48*(1-0.118213058419244)</f>
        <v>0</v>
      </c>
      <c r="AQ48" s="52" t="s">
        <v>101</v>
      </c>
      <c r="AV48" s="10">
        <f>AW48+AX48</f>
        <v>0</v>
      </c>
      <c r="AW48" s="10">
        <f>J48*AO48</f>
        <v>0</v>
      </c>
      <c r="AX48" s="10">
        <f>J48*AP48</f>
        <v>0</v>
      </c>
      <c r="AY48" s="53" t="s">
        <v>227</v>
      </c>
      <c r="AZ48" s="53" t="s">
        <v>233</v>
      </c>
      <c r="BA48" s="51" t="s">
        <v>235</v>
      </c>
      <c r="BC48" s="10">
        <f>AW48+AX48</f>
        <v>0</v>
      </c>
      <c r="BD48" s="10">
        <f>K48/(100-BE48)*100</f>
        <v>0</v>
      </c>
      <c r="BE48" s="10">
        <v>0</v>
      </c>
      <c r="BF48" s="10">
        <f>48</f>
        <v>48</v>
      </c>
      <c r="BH48" s="49">
        <f>J48*AO48</f>
        <v>0</v>
      </c>
      <c r="BI48" s="49">
        <f>J48*AP48</f>
        <v>0</v>
      </c>
      <c r="BJ48" s="49">
        <f>J48*K48</f>
        <v>0</v>
      </c>
      <c r="BK48" s="49" t="s">
        <v>12</v>
      </c>
      <c r="BL48" s="10">
        <v>783</v>
      </c>
    </row>
    <row r="49" spans="1:13" ht="63.75" customHeight="1">
      <c r="A49" s="9"/>
      <c r="B49" s="45"/>
      <c r="C49" s="155" t="s">
        <v>181</v>
      </c>
      <c r="D49" s="156"/>
      <c r="E49" s="156"/>
      <c r="F49" s="156"/>
      <c r="G49" s="156"/>
      <c r="H49" s="156"/>
      <c r="I49" s="156"/>
      <c r="J49" s="156"/>
      <c r="K49" s="156"/>
      <c r="L49" s="157"/>
      <c r="M49" s="58"/>
    </row>
    <row r="50" spans="1:64" ht="12" customHeight="1">
      <c r="A50" s="67" t="s">
        <v>110</v>
      </c>
      <c r="B50" s="59" t="s">
        <v>133</v>
      </c>
      <c r="C50" s="153" t="s">
        <v>182</v>
      </c>
      <c r="D50" s="151"/>
      <c r="E50" s="151"/>
      <c r="F50" s="151"/>
      <c r="G50" s="151"/>
      <c r="H50" s="154"/>
      <c r="I50" s="59" t="s">
        <v>204</v>
      </c>
      <c r="J50" s="60">
        <v>15</v>
      </c>
      <c r="K50" s="73">
        <v>0</v>
      </c>
      <c r="L50" s="68">
        <f>J50*K50</f>
        <v>0</v>
      </c>
      <c r="M50" s="58"/>
      <c r="Z50" s="10">
        <f>IF(AQ50="5",BJ50,0)</f>
        <v>0</v>
      </c>
      <c r="AB50" s="10">
        <f>IF(AQ50="1",BH50,0)</f>
        <v>0</v>
      </c>
      <c r="AC50" s="10">
        <f>IF(AQ50="1",BI50,0)</f>
        <v>0</v>
      </c>
      <c r="AD50" s="10">
        <f>IF(AQ50="7",BH50,0)</f>
        <v>0</v>
      </c>
      <c r="AE50" s="10">
        <f>IF(AQ50="7",BI50,0)</f>
        <v>0</v>
      </c>
      <c r="AF50" s="10">
        <f>IF(AQ50="2",BH50,0)</f>
        <v>0</v>
      </c>
      <c r="AG50" s="10">
        <f>IF(AQ50="2",BI50,0)</f>
        <v>0</v>
      </c>
      <c r="AH50" s="10">
        <f>IF(AQ50="0",BJ50,0)</f>
        <v>0</v>
      </c>
      <c r="AI50" s="51"/>
      <c r="AJ50" s="49">
        <f>IF(AN50=0,L50,0)</f>
        <v>0</v>
      </c>
      <c r="AK50" s="49">
        <f>IF(AN50=15,L50,0)</f>
        <v>0</v>
      </c>
      <c r="AL50" s="49">
        <f>IF(AN50=21,L50,0)</f>
        <v>0</v>
      </c>
      <c r="AN50" s="10">
        <v>21</v>
      </c>
      <c r="AO50" s="10">
        <f>K50*0.177247706422018</f>
        <v>0</v>
      </c>
      <c r="AP50" s="10">
        <f>K50*(1-0.177247706422018)</f>
        <v>0</v>
      </c>
      <c r="AQ50" s="52" t="s">
        <v>101</v>
      </c>
      <c r="AV50" s="10">
        <f>AW50+AX50</f>
        <v>0</v>
      </c>
      <c r="AW50" s="10">
        <f>J50*AO50</f>
        <v>0</v>
      </c>
      <c r="AX50" s="10">
        <f>J50*AP50</f>
        <v>0</v>
      </c>
      <c r="AY50" s="53" t="s">
        <v>227</v>
      </c>
      <c r="AZ50" s="53" t="s">
        <v>233</v>
      </c>
      <c r="BA50" s="51" t="s">
        <v>235</v>
      </c>
      <c r="BC50" s="10">
        <f>AW50+AX50</f>
        <v>0</v>
      </c>
      <c r="BD50" s="10">
        <f>K50/(100-BE50)*100</f>
        <v>0</v>
      </c>
      <c r="BE50" s="10">
        <v>0</v>
      </c>
      <c r="BF50" s="10">
        <f>50</f>
        <v>50</v>
      </c>
      <c r="BH50" s="49">
        <f>J50*AO50</f>
        <v>0</v>
      </c>
      <c r="BI50" s="49">
        <f>J50*AP50</f>
        <v>0</v>
      </c>
      <c r="BJ50" s="49">
        <f>J50*K50</f>
        <v>0</v>
      </c>
      <c r="BK50" s="49" t="s">
        <v>12</v>
      </c>
      <c r="BL50" s="10">
        <v>783</v>
      </c>
    </row>
    <row r="51" spans="1:13" ht="51" customHeight="1">
      <c r="A51" s="9"/>
      <c r="B51" s="45"/>
      <c r="C51" s="155" t="s">
        <v>183</v>
      </c>
      <c r="D51" s="156"/>
      <c r="E51" s="156"/>
      <c r="F51" s="156"/>
      <c r="G51" s="156"/>
      <c r="H51" s="156"/>
      <c r="I51" s="156"/>
      <c r="J51" s="156"/>
      <c r="K51" s="156"/>
      <c r="L51" s="157"/>
      <c r="M51" s="58"/>
    </row>
    <row r="52" spans="1:47" ht="12" customHeight="1">
      <c r="A52" s="41"/>
      <c r="B52" s="46" t="s">
        <v>10</v>
      </c>
      <c r="C52" s="145" t="s">
        <v>17</v>
      </c>
      <c r="D52" s="146"/>
      <c r="E52" s="146"/>
      <c r="F52" s="146"/>
      <c r="G52" s="146"/>
      <c r="H52" s="146"/>
      <c r="I52" s="47" t="s">
        <v>94</v>
      </c>
      <c r="J52" s="47" t="s">
        <v>94</v>
      </c>
      <c r="K52" s="47" t="s">
        <v>94</v>
      </c>
      <c r="L52" s="56">
        <f>SUM(L53:L53)</f>
        <v>0</v>
      </c>
      <c r="M52" s="58"/>
      <c r="AI52" s="51"/>
      <c r="AS52" s="57">
        <f>SUM(AJ53:AJ53)</f>
        <v>0</v>
      </c>
      <c r="AT52" s="57">
        <f>SUM(AK53:AK53)</f>
        <v>0</v>
      </c>
      <c r="AU52" s="57">
        <f>SUM(AL53:AL53)</f>
        <v>0</v>
      </c>
    </row>
    <row r="53" spans="1:64" ht="12" customHeight="1">
      <c r="A53" s="67" t="s">
        <v>111</v>
      </c>
      <c r="B53" s="59" t="s">
        <v>134</v>
      </c>
      <c r="C53" s="153" t="s">
        <v>184</v>
      </c>
      <c r="D53" s="151"/>
      <c r="E53" s="151"/>
      <c r="F53" s="151"/>
      <c r="G53" s="151"/>
      <c r="H53" s="154"/>
      <c r="I53" s="59" t="s">
        <v>206</v>
      </c>
      <c r="J53" s="60">
        <v>20</v>
      </c>
      <c r="K53" s="73">
        <v>0</v>
      </c>
      <c r="L53" s="68">
        <f>J53*K53</f>
        <v>0</v>
      </c>
      <c r="M53" s="58"/>
      <c r="Z53" s="10">
        <f>IF(AQ53="5",BJ53,0)</f>
        <v>0</v>
      </c>
      <c r="AB53" s="10">
        <f>IF(AQ53="1",BH53,0)</f>
        <v>0</v>
      </c>
      <c r="AC53" s="10">
        <f>IF(AQ53="1",BI53,0)</f>
        <v>0</v>
      </c>
      <c r="AD53" s="10">
        <f>IF(AQ53="7",BH53,0)</f>
        <v>0</v>
      </c>
      <c r="AE53" s="10">
        <f>IF(AQ53="7",BI53,0)</f>
        <v>0</v>
      </c>
      <c r="AF53" s="10">
        <f>IF(AQ53="2",BH53,0)</f>
        <v>0</v>
      </c>
      <c r="AG53" s="10">
        <f>IF(AQ53="2",BI53,0)</f>
        <v>0</v>
      </c>
      <c r="AH53" s="10">
        <f>IF(AQ53="0",BJ53,0)</f>
        <v>0</v>
      </c>
      <c r="AI53" s="51"/>
      <c r="AJ53" s="49">
        <f>IF(AN53=0,L53,0)</f>
        <v>0</v>
      </c>
      <c r="AK53" s="49">
        <f>IF(AN53=15,L53,0)</f>
        <v>0</v>
      </c>
      <c r="AL53" s="49">
        <f>IF(AN53=21,L53,0)</f>
        <v>0</v>
      </c>
      <c r="AN53" s="10">
        <v>21</v>
      </c>
      <c r="AO53" s="10">
        <f>K53*0</f>
        <v>0</v>
      </c>
      <c r="AP53" s="10">
        <f>K53*(1-0)</f>
        <v>0</v>
      </c>
      <c r="AQ53" s="52" t="s">
        <v>95</v>
      </c>
      <c r="AV53" s="10">
        <f>AW53+AX53</f>
        <v>0</v>
      </c>
      <c r="AW53" s="10">
        <f>J53*AO53</f>
        <v>0</v>
      </c>
      <c r="AX53" s="10">
        <f>J53*AP53</f>
        <v>0</v>
      </c>
      <c r="AY53" s="53" t="s">
        <v>228</v>
      </c>
      <c r="AZ53" s="53" t="s">
        <v>234</v>
      </c>
      <c r="BA53" s="51" t="s">
        <v>235</v>
      </c>
      <c r="BC53" s="10">
        <f>AW53+AX53</f>
        <v>0</v>
      </c>
      <c r="BD53" s="10">
        <f>K53/(100-BE53)*100</f>
        <v>0</v>
      </c>
      <c r="BE53" s="10">
        <v>0</v>
      </c>
      <c r="BF53" s="10">
        <f>53</f>
        <v>53</v>
      </c>
      <c r="BH53" s="49">
        <f>J53*AO53</f>
        <v>0</v>
      </c>
      <c r="BI53" s="49">
        <f>J53*AP53</f>
        <v>0</v>
      </c>
      <c r="BJ53" s="49">
        <f>J53*K53</f>
        <v>0</v>
      </c>
      <c r="BK53" s="49" t="s">
        <v>12</v>
      </c>
      <c r="BL53" s="10">
        <v>90</v>
      </c>
    </row>
    <row r="54" spans="1:13" ht="12.75" customHeight="1">
      <c r="A54" s="9"/>
      <c r="B54" s="45" t="s">
        <v>121</v>
      </c>
      <c r="C54" s="159" t="s">
        <v>185</v>
      </c>
      <c r="D54" s="160"/>
      <c r="E54" s="160"/>
      <c r="F54" s="160"/>
      <c r="G54" s="160"/>
      <c r="H54" s="160"/>
      <c r="I54" s="160"/>
      <c r="J54" s="160"/>
      <c r="K54" s="160"/>
      <c r="L54" s="161"/>
      <c r="M54" s="58"/>
    </row>
    <row r="55" spans="1:47" ht="12" customHeight="1">
      <c r="A55" s="41"/>
      <c r="B55" s="46" t="s">
        <v>11</v>
      </c>
      <c r="C55" s="145" t="s">
        <v>18</v>
      </c>
      <c r="D55" s="146"/>
      <c r="E55" s="146"/>
      <c r="F55" s="146"/>
      <c r="G55" s="146"/>
      <c r="H55" s="146"/>
      <c r="I55" s="47" t="s">
        <v>94</v>
      </c>
      <c r="J55" s="47" t="s">
        <v>94</v>
      </c>
      <c r="K55" s="47" t="s">
        <v>94</v>
      </c>
      <c r="L55" s="56">
        <f>SUM(L56:L63)</f>
        <v>0</v>
      </c>
      <c r="M55" s="58"/>
      <c r="AI55" s="51"/>
      <c r="AS55" s="57">
        <f>SUM(AJ56:AJ63)</f>
        <v>0</v>
      </c>
      <c r="AT55" s="57">
        <f>SUM(AK56:AK63)</f>
        <v>0</v>
      </c>
      <c r="AU55" s="57">
        <f>SUM(AL56:AL63)</f>
        <v>0</v>
      </c>
    </row>
    <row r="56" spans="1:64" ht="12" customHeight="1">
      <c r="A56" s="65" t="s">
        <v>112</v>
      </c>
      <c r="B56" s="61" t="s">
        <v>135</v>
      </c>
      <c r="C56" s="150" t="s">
        <v>186</v>
      </c>
      <c r="D56" s="151"/>
      <c r="E56" s="151"/>
      <c r="F56" s="151"/>
      <c r="G56" s="151"/>
      <c r="H56" s="152"/>
      <c r="I56" s="61" t="s">
        <v>207</v>
      </c>
      <c r="J56" s="62">
        <v>12</v>
      </c>
      <c r="K56" s="73">
        <v>0</v>
      </c>
      <c r="L56" s="66">
        <f>J56*K56</f>
        <v>0</v>
      </c>
      <c r="M56" s="58"/>
      <c r="Z56" s="10">
        <f>IF(AQ56="5",BJ56,0)</f>
        <v>0</v>
      </c>
      <c r="AB56" s="10">
        <f>IF(AQ56="1",BH56,0)</f>
        <v>0</v>
      </c>
      <c r="AC56" s="10">
        <f>IF(AQ56="1",BI56,0)</f>
        <v>0</v>
      </c>
      <c r="AD56" s="10">
        <f>IF(AQ56="7",BH56,0)</f>
        <v>0</v>
      </c>
      <c r="AE56" s="10">
        <f>IF(AQ56="7",BI56,0)</f>
        <v>0</v>
      </c>
      <c r="AF56" s="10">
        <f>IF(AQ56="2",BH56,0)</f>
        <v>0</v>
      </c>
      <c r="AG56" s="10">
        <f>IF(AQ56="2",BI56,0)</f>
        <v>0</v>
      </c>
      <c r="AH56" s="10">
        <f>IF(AQ56="0",BJ56,0)</f>
        <v>0</v>
      </c>
      <c r="AI56" s="51"/>
      <c r="AJ56" s="49">
        <f>IF(AN56=0,L56,0)</f>
        <v>0</v>
      </c>
      <c r="AK56" s="49">
        <f>IF(AN56=15,L56,0)</f>
        <v>0</v>
      </c>
      <c r="AL56" s="49">
        <f>IF(AN56=21,L56,0)</f>
        <v>0</v>
      </c>
      <c r="AN56" s="10">
        <v>21</v>
      </c>
      <c r="AO56" s="10">
        <f>K56*0</f>
        <v>0</v>
      </c>
      <c r="AP56" s="10">
        <f>K56*(1-0)</f>
        <v>0</v>
      </c>
      <c r="AQ56" s="52" t="s">
        <v>95</v>
      </c>
      <c r="AV56" s="10">
        <f>AW56+AX56</f>
        <v>0</v>
      </c>
      <c r="AW56" s="10">
        <f>J56*AO56</f>
        <v>0</v>
      </c>
      <c r="AX56" s="10">
        <f>J56*AP56</f>
        <v>0</v>
      </c>
      <c r="AY56" s="53" t="s">
        <v>229</v>
      </c>
      <c r="AZ56" s="53" t="s">
        <v>234</v>
      </c>
      <c r="BA56" s="51" t="s">
        <v>235</v>
      </c>
      <c r="BC56" s="10">
        <f>AW56+AX56</f>
        <v>0</v>
      </c>
      <c r="BD56" s="10">
        <f>K56/(100-BE56)*100</f>
        <v>0</v>
      </c>
      <c r="BE56" s="10">
        <v>0</v>
      </c>
      <c r="BF56" s="10">
        <f>56</f>
        <v>56</v>
      </c>
      <c r="BH56" s="49">
        <f>J56*AO56</f>
        <v>0</v>
      </c>
      <c r="BI56" s="49">
        <f>J56*AP56</f>
        <v>0</v>
      </c>
      <c r="BJ56" s="49">
        <f>J56*K56</f>
        <v>0</v>
      </c>
      <c r="BK56" s="49" t="s">
        <v>12</v>
      </c>
      <c r="BL56" s="10" t="s">
        <v>11</v>
      </c>
    </row>
    <row r="57" spans="1:64" ht="12" customHeight="1">
      <c r="A57" s="65" t="s">
        <v>113</v>
      </c>
      <c r="B57" s="61" t="s">
        <v>136</v>
      </c>
      <c r="C57" s="150" t="s">
        <v>187</v>
      </c>
      <c r="D57" s="151"/>
      <c r="E57" s="151"/>
      <c r="F57" s="151"/>
      <c r="G57" s="151"/>
      <c r="H57" s="152"/>
      <c r="I57" s="61" t="s">
        <v>207</v>
      </c>
      <c r="J57" s="62">
        <v>12</v>
      </c>
      <c r="K57" s="73">
        <v>0</v>
      </c>
      <c r="L57" s="66">
        <f>J57*K57</f>
        <v>0</v>
      </c>
      <c r="M57" s="58"/>
      <c r="Z57" s="10">
        <f>IF(AQ57="5",BJ57,0)</f>
        <v>0</v>
      </c>
      <c r="AB57" s="10">
        <f>IF(AQ57="1",BH57,0)</f>
        <v>0</v>
      </c>
      <c r="AC57" s="10">
        <f>IF(AQ57="1",BI57,0)</f>
        <v>0</v>
      </c>
      <c r="AD57" s="10">
        <f>IF(AQ57="7",BH57,0)</f>
        <v>0</v>
      </c>
      <c r="AE57" s="10">
        <f>IF(AQ57="7",BI57,0)</f>
        <v>0</v>
      </c>
      <c r="AF57" s="10">
        <f>IF(AQ57="2",BH57,0)</f>
        <v>0</v>
      </c>
      <c r="AG57" s="10">
        <f>IF(AQ57="2",BI57,0)</f>
        <v>0</v>
      </c>
      <c r="AH57" s="10">
        <f>IF(AQ57="0",BJ57,0)</f>
        <v>0</v>
      </c>
      <c r="AI57" s="51"/>
      <c r="AJ57" s="49">
        <f>IF(AN57=0,L57,0)</f>
        <v>0</v>
      </c>
      <c r="AK57" s="49">
        <f>IF(AN57=15,L57,0)</f>
        <v>0</v>
      </c>
      <c r="AL57" s="49">
        <f>IF(AN57=21,L57,0)</f>
        <v>0</v>
      </c>
      <c r="AN57" s="10">
        <v>21</v>
      </c>
      <c r="AO57" s="10">
        <f>K57*0</f>
        <v>0</v>
      </c>
      <c r="AP57" s="10">
        <f>K57*(1-0)</f>
        <v>0</v>
      </c>
      <c r="AQ57" s="52" t="s">
        <v>95</v>
      </c>
      <c r="AV57" s="10">
        <f>AW57+AX57</f>
        <v>0</v>
      </c>
      <c r="AW57" s="10">
        <f>J57*AO57</f>
        <v>0</v>
      </c>
      <c r="AX57" s="10">
        <f>J57*AP57</f>
        <v>0</v>
      </c>
      <c r="AY57" s="53" t="s">
        <v>229</v>
      </c>
      <c r="AZ57" s="53" t="s">
        <v>234</v>
      </c>
      <c r="BA57" s="51" t="s">
        <v>235</v>
      </c>
      <c r="BC57" s="10">
        <f>AW57+AX57</f>
        <v>0</v>
      </c>
      <c r="BD57" s="10">
        <f>K57/(100-BE57)*100</f>
        <v>0</v>
      </c>
      <c r="BE57" s="10">
        <v>0</v>
      </c>
      <c r="BF57" s="10">
        <f>57</f>
        <v>57</v>
      </c>
      <c r="BH57" s="49">
        <f>J57*AO57</f>
        <v>0</v>
      </c>
      <c r="BI57" s="49">
        <f>J57*AP57</f>
        <v>0</v>
      </c>
      <c r="BJ57" s="49">
        <f>J57*K57</f>
        <v>0</v>
      </c>
      <c r="BK57" s="49" t="s">
        <v>12</v>
      </c>
      <c r="BL57" s="10" t="s">
        <v>11</v>
      </c>
    </row>
    <row r="58" spans="1:64" ht="12" customHeight="1">
      <c r="A58" s="65" t="s">
        <v>114</v>
      </c>
      <c r="B58" s="61" t="s">
        <v>137</v>
      </c>
      <c r="C58" s="150" t="s">
        <v>188</v>
      </c>
      <c r="D58" s="151"/>
      <c r="E58" s="151"/>
      <c r="F58" s="151"/>
      <c r="G58" s="151"/>
      <c r="H58" s="152"/>
      <c r="I58" s="61" t="s">
        <v>207</v>
      </c>
      <c r="J58" s="62">
        <v>12</v>
      </c>
      <c r="K58" s="73">
        <v>0</v>
      </c>
      <c r="L58" s="66">
        <f>J58*K58</f>
        <v>0</v>
      </c>
      <c r="M58" s="58"/>
      <c r="Z58" s="10">
        <f>IF(AQ58="5",BJ58,0)</f>
        <v>0</v>
      </c>
      <c r="AB58" s="10">
        <f>IF(AQ58="1",BH58,0)</f>
        <v>0</v>
      </c>
      <c r="AC58" s="10">
        <f>IF(AQ58="1",BI58,0)</f>
        <v>0</v>
      </c>
      <c r="AD58" s="10">
        <f>IF(AQ58="7",BH58,0)</f>
        <v>0</v>
      </c>
      <c r="AE58" s="10">
        <f>IF(AQ58="7",BI58,0)</f>
        <v>0</v>
      </c>
      <c r="AF58" s="10">
        <f>IF(AQ58="2",BH58,0)</f>
        <v>0</v>
      </c>
      <c r="AG58" s="10">
        <f>IF(AQ58="2",BI58,0)</f>
        <v>0</v>
      </c>
      <c r="AH58" s="10">
        <f>IF(AQ58="0",BJ58,0)</f>
        <v>0</v>
      </c>
      <c r="AI58" s="51"/>
      <c r="AJ58" s="49">
        <f>IF(AN58=0,L58,0)</f>
        <v>0</v>
      </c>
      <c r="AK58" s="49">
        <f>IF(AN58=15,L58,0)</f>
        <v>0</v>
      </c>
      <c r="AL58" s="49">
        <f>IF(AN58=21,L58,0)</f>
        <v>0</v>
      </c>
      <c r="AN58" s="10">
        <v>21</v>
      </c>
      <c r="AO58" s="10">
        <f>K58*0.384630541871921</f>
        <v>0</v>
      </c>
      <c r="AP58" s="10">
        <f>K58*(1-0.384630541871921)</f>
        <v>0</v>
      </c>
      <c r="AQ58" s="52" t="s">
        <v>95</v>
      </c>
      <c r="AV58" s="10">
        <f>AW58+AX58</f>
        <v>0</v>
      </c>
      <c r="AW58" s="10">
        <f>J58*AO58</f>
        <v>0</v>
      </c>
      <c r="AX58" s="10">
        <f>J58*AP58</f>
        <v>0</v>
      </c>
      <c r="AY58" s="53" t="s">
        <v>229</v>
      </c>
      <c r="AZ58" s="53" t="s">
        <v>234</v>
      </c>
      <c r="BA58" s="51" t="s">
        <v>235</v>
      </c>
      <c r="BC58" s="10">
        <f>AW58+AX58</f>
        <v>0</v>
      </c>
      <c r="BD58" s="10">
        <f>K58/(100-BE58)*100</f>
        <v>0</v>
      </c>
      <c r="BE58" s="10">
        <v>0</v>
      </c>
      <c r="BF58" s="10">
        <f>58</f>
        <v>58</v>
      </c>
      <c r="BH58" s="49">
        <f>J58*AO58</f>
        <v>0</v>
      </c>
      <c r="BI58" s="49">
        <f>J58*AP58</f>
        <v>0</v>
      </c>
      <c r="BJ58" s="49">
        <f>J58*K58</f>
        <v>0</v>
      </c>
      <c r="BK58" s="49" t="s">
        <v>12</v>
      </c>
      <c r="BL58" s="10" t="s">
        <v>11</v>
      </c>
    </row>
    <row r="59" spans="1:64" ht="12" customHeight="1">
      <c r="A59" s="67" t="s">
        <v>115</v>
      </c>
      <c r="B59" s="59" t="s">
        <v>138</v>
      </c>
      <c r="C59" s="153" t="s">
        <v>189</v>
      </c>
      <c r="D59" s="151"/>
      <c r="E59" s="151"/>
      <c r="F59" s="151"/>
      <c r="G59" s="151"/>
      <c r="H59" s="154"/>
      <c r="I59" s="59" t="s">
        <v>208</v>
      </c>
      <c r="J59" s="60">
        <v>1</v>
      </c>
      <c r="K59" s="73">
        <v>0</v>
      </c>
      <c r="L59" s="68">
        <f>J59*K59</f>
        <v>0</v>
      </c>
      <c r="M59" s="58"/>
      <c r="Z59" s="10">
        <f>IF(AQ59="5",BJ59,0)</f>
        <v>0</v>
      </c>
      <c r="AB59" s="10">
        <f>IF(AQ59="1",BH59,0)</f>
        <v>0</v>
      </c>
      <c r="AC59" s="10">
        <f>IF(AQ59="1",BI59,0)</f>
        <v>0</v>
      </c>
      <c r="AD59" s="10">
        <f>IF(AQ59="7",BH59,0)</f>
        <v>0</v>
      </c>
      <c r="AE59" s="10">
        <f>IF(AQ59="7",BI59,0)</f>
        <v>0</v>
      </c>
      <c r="AF59" s="10">
        <f>IF(AQ59="2",BH59,0)</f>
        <v>0</v>
      </c>
      <c r="AG59" s="10">
        <f>IF(AQ59="2",BI59,0)</f>
        <v>0</v>
      </c>
      <c r="AH59" s="10">
        <f>IF(AQ59="0",BJ59,0)</f>
        <v>0</v>
      </c>
      <c r="AI59" s="51"/>
      <c r="AJ59" s="49">
        <f>IF(AN59=0,L59,0)</f>
        <v>0</v>
      </c>
      <c r="AK59" s="49">
        <f>IF(AN59=15,L59,0)</f>
        <v>0</v>
      </c>
      <c r="AL59" s="49">
        <f>IF(AN59=21,L59,0)</f>
        <v>0</v>
      </c>
      <c r="AN59" s="10">
        <v>21</v>
      </c>
      <c r="AO59" s="10">
        <f>K59*0</f>
        <v>0</v>
      </c>
      <c r="AP59" s="10">
        <f>K59*(1-0)</f>
        <v>0</v>
      </c>
      <c r="AQ59" s="52" t="s">
        <v>95</v>
      </c>
      <c r="AV59" s="10">
        <f>AW59+AX59</f>
        <v>0</v>
      </c>
      <c r="AW59" s="10">
        <f>J59*AO59</f>
        <v>0</v>
      </c>
      <c r="AX59" s="10">
        <f>J59*AP59</f>
        <v>0</v>
      </c>
      <c r="AY59" s="53" t="s">
        <v>229</v>
      </c>
      <c r="AZ59" s="53" t="s">
        <v>234</v>
      </c>
      <c r="BA59" s="51" t="s">
        <v>235</v>
      </c>
      <c r="BC59" s="10">
        <f>AW59+AX59</f>
        <v>0</v>
      </c>
      <c r="BD59" s="10">
        <f>K59/(100-BE59)*100</f>
        <v>0</v>
      </c>
      <c r="BE59" s="10">
        <v>0</v>
      </c>
      <c r="BF59" s="10">
        <f>59</f>
        <v>59</v>
      </c>
      <c r="BH59" s="49">
        <f>J59*AO59</f>
        <v>0</v>
      </c>
      <c r="BI59" s="49">
        <f>J59*AP59</f>
        <v>0</v>
      </c>
      <c r="BJ59" s="49">
        <f>J59*K59</f>
        <v>0</v>
      </c>
      <c r="BK59" s="49" t="s">
        <v>12</v>
      </c>
      <c r="BL59" s="10" t="s">
        <v>11</v>
      </c>
    </row>
    <row r="60" spans="1:13" ht="12.75" customHeight="1">
      <c r="A60" s="9"/>
      <c r="B60" s="45"/>
      <c r="C60" s="155" t="s">
        <v>190</v>
      </c>
      <c r="D60" s="156"/>
      <c r="E60" s="156"/>
      <c r="F60" s="156"/>
      <c r="G60" s="156"/>
      <c r="H60" s="156"/>
      <c r="I60" s="156"/>
      <c r="J60" s="156"/>
      <c r="K60" s="156"/>
      <c r="L60" s="157"/>
      <c r="M60" s="58"/>
    </row>
    <row r="61" spans="1:64" ht="12" customHeight="1">
      <c r="A61" s="67" t="s">
        <v>116</v>
      </c>
      <c r="B61" s="59" t="s">
        <v>139</v>
      </c>
      <c r="C61" s="153" t="s">
        <v>191</v>
      </c>
      <c r="D61" s="151"/>
      <c r="E61" s="151"/>
      <c r="F61" s="151"/>
      <c r="G61" s="151"/>
      <c r="H61" s="154"/>
      <c r="I61" s="59" t="s">
        <v>209</v>
      </c>
      <c r="J61" s="60">
        <v>1</v>
      </c>
      <c r="K61" s="73">
        <v>0</v>
      </c>
      <c r="L61" s="68">
        <f>J61*K61</f>
        <v>0</v>
      </c>
      <c r="M61" s="58"/>
      <c r="Z61" s="10">
        <f>IF(AQ61="5",BJ61,0)</f>
        <v>0</v>
      </c>
      <c r="AB61" s="10">
        <f>IF(AQ61="1",BH61,0)</f>
        <v>0</v>
      </c>
      <c r="AC61" s="10">
        <f>IF(AQ61="1",BI61,0)</f>
        <v>0</v>
      </c>
      <c r="AD61" s="10">
        <f>IF(AQ61="7",BH61,0)</f>
        <v>0</v>
      </c>
      <c r="AE61" s="10">
        <f>IF(AQ61="7",BI61,0)</f>
        <v>0</v>
      </c>
      <c r="AF61" s="10">
        <f>IF(AQ61="2",BH61,0)</f>
        <v>0</v>
      </c>
      <c r="AG61" s="10">
        <f>IF(AQ61="2",BI61,0)</f>
        <v>0</v>
      </c>
      <c r="AH61" s="10">
        <f>IF(AQ61="0",BJ61,0)</f>
        <v>0</v>
      </c>
      <c r="AI61" s="51"/>
      <c r="AJ61" s="49">
        <f>IF(AN61=0,L61,0)</f>
        <v>0</v>
      </c>
      <c r="AK61" s="49">
        <f>IF(AN61=15,L61,0)</f>
        <v>0</v>
      </c>
      <c r="AL61" s="49">
        <f>IF(AN61=21,L61,0)</f>
        <v>0</v>
      </c>
      <c r="AN61" s="10">
        <v>21</v>
      </c>
      <c r="AO61" s="10">
        <f>K61*0</f>
        <v>0</v>
      </c>
      <c r="AP61" s="10">
        <f>K61*(1-0)</f>
        <v>0</v>
      </c>
      <c r="AQ61" s="52" t="s">
        <v>95</v>
      </c>
      <c r="AV61" s="10">
        <f>AW61+AX61</f>
        <v>0</v>
      </c>
      <c r="AW61" s="10">
        <f>J61*AO61</f>
        <v>0</v>
      </c>
      <c r="AX61" s="10">
        <f>J61*AP61</f>
        <v>0</v>
      </c>
      <c r="AY61" s="53" t="s">
        <v>229</v>
      </c>
      <c r="AZ61" s="53" t="s">
        <v>234</v>
      </c>
      <c r="BA61" s="51" t="s">
        <v>235</v>
      </c>
      <c r="BC61" s="10">
        <f>AW61+AX61</f>
        <v>0</v>
      </c>
      <c r="BD61" s="10">
        <f>K61/(100-BE61)*100</f>
        <v>0</v>
      </c>
      <c r="BE61" s="10">
        <v>0</v>
      </c>
      <c r="BF61" s="10">
        <f>61</f>
        <v>61</v>
      </c>
      <c r="BH61" s="49">
        <f>J61*AO61</f>
        <v>0</v>
      </c>
      <c r="BI61" s="49">
        <f>J61*AP61</f>
        <v>0</v>
      </c>
      <c r="BJ61" s="49">
        <f>J61*K61</f>
        <v>0</v>
      </c>
      <c r="BK61" s="49" t="s">
        <v>12</v>
      </c>
      <c r="BL61" s="10" t="s">
        <v>11</v>
      </c>
    </row>
    <row r="62" spans="1:13" ht="12.75" customHeight="1">
      <c r="A62" s="9"/>
      <c r="B62" s="45"/>
      <c r="C62" s="155" t="s">
        <v>192</v>
      </c>
      <c r="D62" s="156"/>
      <c r="E62" s="156"/>
      <c r="F62" s="156"/>
      <c r="G62" s="156"/>
      <c r="H62" s="156"/>
      <c r="I62" s="156"/>
      <c r="J62" s="156"/>
      <c r="K62" s="156"/>
      <c r="L62" s="157"/>
      <c r="M62" s="58"/>
    </row>
    <row r="63" spans="1:64" ht="12" customHeight="1">
      <c r="A63" s="40" t="s">
        <v>117</v>
      </c>
      <c r="B63" s="44" t="s">
        <v>140</v>
      </c>
      <c r="C63" s="158" t="s">
        <v>193</v>
      </c>
      <c r="D63" s="151"/>
      <c r="E63" s="151"/>
      <c r="F63" s="151"/>
      <c r="G63" s="151"/>
      <c r="H63" s="151"/>
      <c r="I63" s="44" t="s">
        <v>209</v>
      </c>
      <c r="J63" s="49">
        <v>1</v>
      </c>
      <c r="K63" s="73">
        <v>0</v>
      </c>
      <c r="L63" s="55">
        <f>J63*K63</f>
        <v>0</v>
      </c>
      <c r="M63" s="58"/>
      <c r="Z63" s="10">
        <f>IF(AQ63="5",BJ63,0)</f>
        <v>0</v>
      </c>
      <c r="AB63" s="10">
        <f>IF(AQ63="1",BH63,0)</f>
        <v>0</v>
      </c>
      <c r="AC63" s="10">
        <f>IF(AQ63="1",BI63,0)</f>
        <v>0</v>
      </c>
      <c r="AD63" s="10">
        <f>IF(AQ63="7",BH63,0)</f>
        <v>0</v>
      </c>
      <c r="AE63" s="10">
        <f>IF(AQ63="7",BI63,0)</f>
        <v>0</v>
      </c>
      <c r="AF63" s="10">
        <f>IF(AQ63="2",BH63,0)</f>
        <v>0</v>
      </c>
      <c r="AG63" s="10">
        <f>IF(AQ63="2",BI63,0)</f>
        <v>0</v>
      </c>
      <c r="AH63" s="10">
        <f>IF(AQ63="0",BJ63,0)</f>
        <v>0</v>
      </c>
      <c r="AI63" s="51"/>
      <c r="AJ63" s="49">
        <f>IF(AN63=0,L63,0)</f>
        <v>0</v>
      </c>
      <c r="AK63" s="49">
        <f>IF(AN63=15,L63,0)</f>
        <v>0</v>
      </c>
      <c r="AL63" s="49">
        <f>IF(AN63=21,L63,0)</f>
        <v>0</v>
      </c>
      <c r="AN63" s="10">
        <v>21</v>
      </c>
      <c r="AO63" s="10">
        <f>K63*0</f>
        <v>0</v>
      </c>
      <c r="AP63" s="10">
        <f>K63*(1-0)</f>
        <v>0</v>
      </c>
      <c r="AQ63" s="52" t="s">
        <v>95</v>
      </c>
      <c r="AV63" s="10">
        <f>AW63+AX63</f>
        <v>0</v>
      </c>
      <c r="AW63" s="10">
        <f>J63*AO63</f>
        <v>0</v>
      </c>
      <c r="AX63" s="10">
        <f>J63*AP63</f>
        <v>0</v>
      </c>
      <c r="AY63" s="53" t="s">
        <v>229</v>
      </c>
      <c r="AZ63" s="53" t="s">
        <v>234</v>
      </c>
      <c r="BA63" s="51" t="s">
        <v>235</v>
      </c>
      <c r="BC63" s="10">
        <f>AW63+AX63</f>
        <v>0</v>
      </c>
      <c r="BD63" s="10">
        <f>K63/(100-BE63)*100</f>
        <v>0</v>
      </c>
      <c r="BE63" s="10">
        <v>0</v>
      </c>
      <c r="BF63" s="10">
        <f>63</f>
        <v>63</v>
      </c>
      <c r="BH63" s="49">
        <f>J63*AO63</f>
        <v>0</v>
      </c>
      <c r="BI63" s="49">
        <f>J63*AP63</f>
        <v>0</v>
      </c>
      <c r="BJ63" s="49">
        <f>J63*K63</f>
        <v>0</v>
      </c>
      <c r="BK63" s="49" t="s">
        <v>12</v>
      </c>
      <c r="BL63" s="10" t="s">
        <v>11</v>
      </c>
    </row>
    <row r="64" spans="1:47" ht="12" customHeight="1">
      <c r="A64" s="41"/>
      <c r="B64" s="46" t="s">
        <v>12</v>
      </c>
      <c r="C64" s="145" t="s">
        <v>19</v>
      </c>
      <c r="D64" s="146"/>
      <c r="E64" s="146"/>
      <c r="F64" s="146"/>
      <c r="G64" s="146"/>
      <c r="H64" s="146"/>
      <c r="I64" s="47" t="s">
        <v>94</v>
      </c>
      <c r="J64" s="47" t="s">
        <v>94</v>
      </c>
      <c r="K64" s="47" t="s">
        <v>94</v>
      </c>
      <c r="L64" s="56">
        <f>SUM(L65:L65)</f>
        <v>0</v>
      </c>
      <c r="M64" s="58"/>
      <c r="AI64" s="51"/>
      <c r="AS64" s="57">
        <f>SUM(AJ65:AJ65)</f>
        <v>0</v>
      </c>
      <c r="AT64" s="57">
        <f>SUM(AK65:AK65)</f>
        <v>0</v>
      </c>
      <c r="AU64" s="57">
        <f>SUM(AL65:AL65)</f>
        <v>0</v>
      </c>
    </row>
    <row r="65" spans="1:64" ht="12" customHeight="1">
      <c r="A65" s="69" t="s">
        <v>76</v>
      </c>
      <c r="B65" s="70" t="s">
        <v>141</v>
      </c>
      <c r="C65" s="147" t="s">
        <v>194</v>
      </c>
      <c r="D65" s="148"/>
      <c r="E65" s="148"/>
      <c r="F65" s="148"/>
      <c r="G65" s="148"/>
      <c r="H65" s="149"/>
      <c r="I65" s="70" t="s">
        <v>210</v>
      </c>
      <c r="J65" s="71">
        <v>35</v>
      </c>
      <c r="K65" s="74">
        <v>0</v>
      </c>
      <c r="L65" s="72">
        <f>J65*K65</f>
        <v>0</v>
      </c>
      <c r="M65" s="58"/>
      <c r="Z65" s="10">
        <f>IF(AQ65="5",BJ65,0)</f>
        <v>0</v>
      </c>
      <c r="AB65" s="10">
        <f>IF(AQ65="1",BH65,0)</f>
        <v>0</v>
      </c>
      <c r="AC65" s="10">
        <f>IF(AQ65="1",BI65,0)</f>
        <v>0</v>
      </c>
      <c r="AD65" s="10">
        <f>IF(AQ65="7",BH65,0)</f>
        <v>0</v>
      </c>
      <c r="AE65" s="10">
        <f>IF(AQ65="7",BI65,0)</f>
        <v>0</v>
      </c>
      <c r="AF65" s="10">
        <f>IF(AQ65="2",BH65,0)</f>
        <v>0</v>
      </c>
      <c r="AG65" s="10">
        <f>IF(AQ65="2",BI65,0)</f>
        <v>0</v>
      </c>
      <c r="AH65" s="10">
        <f>IF(AQ65="0",BJ65,0)</f>
        <v>0</v>
      </c>
      <c r="AI65" s="51"/>
      <c r="AJ65" s="49">
        <f>IF(AN65=0,L65,0)</f>
        <v>0</v>
      </c>
      <c r="AK65" s="49">
        <f>IF(AN65=15,L65,0)</f>
        <v>0</v>
      </c>
      <c r="AL65" s="49">
        <f>IF(AN65=21,L65,0)</f>
        <v>0</v>
      </c>
      <c r="AN65" s="10">
        <v>21</v>
      </c>
      <c r="AO65" s="10">
        <f>K65*0</f>
        <v>0</v>
      </c>
      <c r="AP65" s="10">
        <f>K65*(1-0)</f>
        <v>0</v>
      </c>
      <c r="AQ65" s="52" t="s">
        <v>99</v>
      </c>
      <c r="AV65" s="10">
        <f>AW65+AX65</f>
        <v>0</v>
      </c>
      <c r="AW65" s="10">
        <f>J65*AO65</f>
        <v>0</v>
      </c>
      <c r="AX65" s="10">
        <f>J65*AP65</f>
        <v>0</v>
      </c>
      <c r="AY65" s="53" t="s">
        <v>230</v>
      </c>
      <c r="AZ65" s="53" t="s">
        <v>234</v>
      </c>
      <c r="BA65" s="51" t="s">
        <v>235</v>
      </c>
      <c r="BC65" s="10">
        <f>AW65+AX65</f>
        <v>0</v>
      </c>
      <c r="BD65" s="10">
        <f>K65/(100-BE65)*100</f>
        <v>0</v>
      </c>
      <c r="BE65" s="10">
        <v>0</v>
      </c>
      <c r="BF65" s="10">
        <f>65</f>
        <v>65</v>
      </c>
      <c r="BH65" s="49">
        <f>J65*AO65</f>
        <v>0</v>
      </c>
      <c r="BI65" s="49">
        <f>J65*AP65</f>
        <v>0</v>
      </c>
      <c r="BJ65" s="49">
        <f>J65*K65</f>
        <v>0</v>
      </c>
      <c r="BK65" s="49" t="s">
        <v>12</v>
      </c>
      <c r="BL65" s="10" t="s">
        <v>12</v>
      </c>
    </row>
    <row r="66" spans="1:12" ht="12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12">
        <f>L12+L43+L47+L52+L55+L64</f>
        <v>0</v>
      </c>
    </row>
    <row r="67" ht="9.75" customHeight="1">
      <c r="A67" s="42" t="s">
        <v>42</v>
      </c>
    </row>
    <row r="68" spans="1:12" ht="12.75" customHeight="1">
      <c r="A68" s="77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</sheetData>
  <sheetProtection/>
  <mergeCells count="82">
    <mergeCell ref="A1:L1"/>
    <mergeCell ref="A2:B3"/>
    <mergeCell ref="C2:C3"/>
    <mergeCell ref="D2:E3"/>
    <mergeCell ref="F2:F3"/>
    <mergeCell ref="G2:G3"/>
    <mergeCell ref="H2:L3"/>
    <mergeCell ref="A4:B5"/>
    <mergeCell ref="C4:C5"/>
    <mergeCell ref="D4:E5"/>
    <mergeCell ref="F4:F5"/>
    <mergeCell ref="G4:G5"/>
    <mergeCell ref="H4:L5"/>
    <mergeCell ref="A6:B7"/>
    <mergeCell ref="C6:C7"/>
    <mergeCell ref="D6:E7"/>
    <mergeCell ref="F6:F7"/>
    <mergeCell ref="G6:G7"/>
    <mergeCell ref="H6:L7"/>
    <mergeCell ref="A8:B9"/>
    <mergeCell ref="C8:C9"/>
    <mergeCell ref="D8:E9"/>
    <mergeCell ref="F8:F9"/>
    <mergeCell ref="G8:G9"/>
    <mergeCell ref="H8:L9"/>
    <mergeCell ref="C10:H10"/>
    <mergeCell ref="C11:H11"/>
    <mergeCell ref="C12:H12"/>
    <mergeCell ref="C13:H13"/>
    <mergeCell ref="C14:L14"/>
    <mergeCell ref="C15:H15"/>
    <mergeCell ref="C16:H16"/>
    <mergeCell ref="C17:L17"/>
    <mergeCell ref="C18:L18"/>
    <mergeCell ref="C19:H19"/>
    <mergeCell ref="C20:L20"/>
    <mergeCell ref="C21:H21"/>
    <mergeCell ref="C22:L22"/>
    <mergeCell ref="C23:H23"/>
    <mergeCell ref="C24:L24"/>
    <mergeCell ref="C25:L25"/>
    <mergeCell ref="C26:H26"/>
    <mergeCell ref="C27:L27"/>
    <mergeCell ref="C28:H28"/>
    <mergeCell ref="C29:L29"/>
    <mergeCell ref="C30:L30"/>
    <mergeCell ref="C31:H31"/>
    <mergeCell ref="C32:L32"/>
    <mergeCell ref="C33:L33"/>
    <mergeCell ref="C34:H34"/>
    <mergeCell ref="C35:L35"/>
    <mergeCell ref="C36:L36"/>
    <mergeCell ref="C37:H37"/>
    <mergeCell ref="C38:L38"/>
    <mergeCell ref="C39:H39"/>
    <mergeCell ref="C40:L40"/>
    <mergeCell ref="C41:H41"/>
    <mergeCell ref="C42:L42"/>
    <mergeCell ref="C43:H43"/>
    <mergeCell ref="C44:H44"/>
    <mergeCell ref="C45:L45"/>
    <mergeCell ref="C46:L46"/>
    <mergeCell ref="C47:H47"/>
    <mergeCell ref="C48:H48"/>
    <mergeCell ref="C49:L49"/>
    <mergeCell ref="C50:H50"/>
    <mergeCell ref="C51:L51"/>
    <mergeCell ref="C52:H52"/>
    <mergeCell ref="C53:H53"/>
    <mergeCell ref="C54:L54"/>
    <mergeCell ref="C55:H55"/>
    <mergeCell ref="C56:H56"/>
    <mergeCell ref="C57:H57"/>
    <mergeCell ref="C64:H64"/>
    <mergeCell ref="C65:H65"/>
    <mergeCell ref="A68:L68"/>
    <mergeCell ref="C58:H58"/>
    <mergeCell ref="C59:H59"/>
    <mergeCell ref="C60:L60"/>
    <mergeCell ref="C61:H61"/>
    <mergeCell ref="C62:L62"/>
    <mergeCell ref="C63:H6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Lucie</cp:lastModifiedBy>
  <dcterms:modified xsi:type="dcterms:W3CDTF">2022-03-02T10:38:42Z</dcterms:modified>
  <cp:category/>
  <cp:version/>
  <cp:contentType/>
  <cp:contentStatus/>
</cp:coreProperties>
</file>