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_Veřejné zakázky\_Zakázky 2023\ZZVZ\Gymnázium Židlochovice\00d_Příprava ZD\03_Příloha č. 2 Projektová dokumentace, kniha standardů a technické podmínky\"/>
    </mc:Choice>
  </mc:AlternateContent>
  <bookViews>
    <workbookView xWindow="9075" yWindow="-20295" windowWidth="22065" windowHeight="18795" tabRatio="500"/>
  </bookViews>
  <sheets>
    <sheet name="stavba" sheetId="1" r:id="rId1"/>
    <sheet name="List1" sheetId="2" r:id="rId2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8" i="1" l="1"/>
  <c r="C9" i="2"/>
  <c r="B9" i="2"/>
  <c r="C8" i="2"/>
  <c r="G37" i="1" s="1"/>
  <c r="B8" i="2"/>
  <c r="C7" i="2"/>
  <c r="B7" i="2"/>
  <c r="H112" i="1"/>
  <c r="H141" i="1"/>
  <c r="H134" i="1"/>
  <c r="H127" i="1"/>
  <c r="J162" i="1" l="1"/>
  <c r="J161" i="1"/>
  <c r="J160" i="1"/>
  <c r="J159" i="1"/>
  <c r="G158" i="1"/>
  <c r="J158" i="1" s="1"/>
  <c r="G28" i="1" l="1"/>
  <c r="J28" i="1" s="1"/>
  <c r="J72" i="1"/>
  <c r="G46" i="1"/>
  <c r="G45" i="1"/>
  <c r="G43" i="1" l="1"/>
  <c r="G42" i="1"/>
  <c r="G157" i="1"/>
  <c r="J157" i="1" s="1"/>
  <c r="J156" i="1" s="1"/>
  <c r="J71" i="1" l="1"/>
  <c r="H147" i="1"/>
  <c r="J70" i="1" l="1"/>
  <c r="J69" i="1"/>
  <c r="J68" i="1"/>
  <c r="J67" i="1" l="1"/>
  <c r="J66" i="1"/>
  <c r="J91" i="1"/>
  <c r="G85" i="1" l="1"/>
  <c r="G86" i="1" s="1"/>
  <c r="G32" i="1"/>
  <c r="G31" i="1"/>
  <c r="G30" i="1"/>
  <c r="G77" i="1"/>
  <c r="J77" i="1" s="1"/>
  <c r="G75" i="1"/>
  <c r="G76" i="1"/>
  <c r="G40" i="1" l="1"/>
  <c r="G89" i="1"/>
  <c r="J38" i="1"/>
  <c r="G39" i="1"/>
  <c r="J105" i="1"/>
  <c r="G80" i="1"/>
  <c r="J65" i="1"/>
  <c r="J59" i="1"/>
  <c r="J58" i="1"/>
  <c r="G24" i="1"/>
  <c r="J106" i="1"/>
  <c r="G94" i="1"/>
  <c r="G101" i="1"/>
  <c r="J101" i="1" s="1"/>
  <c r="G100" i="1"/>
  <c r="G35" i="1" s="1"/>
  <c r="J35" i="1" s="1"/>
  <c r="G99" i="1"/>
  <c r="G34" i="1" s="1"/>
  <c r="J34" i="1" s="1"/>
  <c r="G98" i="1"/>
  <c r="G97" i="1" s="1"/>
  <c r="G93" i="1"/>
  <c r="G92" i="1"/>
  <c r="J92" i="1" s="1"/>
  <c r="G25" i="1" l="1"/>
  <c r="G26" i="1"/>
  <c r="G81" i="1"/>
  <c r="G82" i="1"/>
  <c r="G104" i="1"/>
  <c r="J169" i="1" l="1"/>
  <c r="J51" i="1" l="1"/>
  <c r="J31" i="1"/>
  <c r="J104" i="1"/>
  <c r="J32" i="1"/>
  <c r="J103" i="1"/>
  <c r="J141" i="1" l="1"/>
  <c r="J46" i="1" l="1"/>
  <c r="J57" i="1" l="1"/>
  <c r="J26" i="1"/>
  <c r="J43" i="1" l="1"/>
  <c r="J42" i="1"/>
  <c r="J39" i="1"/>
  <c r="J95" i="1"/>
  <c r="J100" i="1"/>
  <c r="J82" i="1"/>
  <c r="J81" i="1"/>
  <c r="J80" i="1"/>
  <c r="J76" i="1"/>
  <c r="J75" i="1"/>
  <c r="J74" i="1"/>
  <c r="J52" i="1"/>
  <c r="J62" i="1"/>
  <c r="J98" i="1"/>
  <c r="J89" i="1"/>
  <c r="J99" i="1"/>
  <c r="J56" i="1"/>
  <c r="J55" i="1"/>
  <c r="J45" i="1"/>
  <c r="J107" i="1"/>
  <c r="J102" i="1"/>
  <c r="J86" i="1"/>
  <c r="J85" i="1"/>
  <c r="J50" i="1"/>
  <c r="J49" i="1"/>
  <c r="J97" i="1"/>
  <c r="J96" i="1"/>
  <c r="J94" i="1"/>
  <c r="J93" i="1"/>
  <c r="J87" i="1"/>
  <c r="J83" i="1"/>
  <c r="J78" i="1"/>
  <c r="J63" i="1"/>
  <c r="J60" i="1"/>
  <c r="J53" i="1"/>
  <c r="J47" i="1"/>
  <c r="J147" i="1" l="1"/>
  <c r="J134" i="1"/>
  <c r="J127" i="1"/>
  <c r="J112" i="1"/>
  <c r="J10" i="1"/>
  <c r="J111" i="1" l="1"/>
  <c r="J176" i="1" l="1"/>
  <c r="J40" i="1"/>
  <c r="J37" i="1"/>
  <c r="J30" i="1"/>
  <c r="J25" i="1"/>
  <c r="J24" i="1"/>
  <c r="J6" i="1"/>
  <c r="H108" i="1" l="1"/>
  <c r="J108" i="1" s="1"/>
  <c r="J22" i="1" s="1"/>
  <c r="J21" i="1" s="1"/>
  <c r="J16" i="1" s="1"/>
  <c r="H167" i="1" l="1"/>
  <c r="H166" i="1"/>
  <c r="H165" i="1"/>
  <c r="J173" i="1"/>
  <c r="J164" i="1" l="1"/>
  <c r="J179" i="1" s="1"/>
  <c r="J181" i="1" l="1"/>
  <c r="J183" i="1" s="1"/>
</calcChain>
</file>

<file path=xl/sharedStrings.xml><?xml version="1.0" encoding="utf-8"?>
<sst xmlns="http://schemas.openxmlformats.org/spreadsheetml/2006/main" count="415" uniqueCount="186">
  <si>
    <t>Stavba:</t>
  </si>
  <si>
    <t>Projektant:</t>
  </si>
  <si>
    <t>Propočet nákladů stavby</t>
  </si>
  <si>
    <t>I.</t>
  </si>
  <si>
    <t>PROJEKTOVÉ A PŘÍPRAVNÉ PRÁCE</t>
  </si>
  <si>
    <t>Kč</t>
  </si>
  <si>
    <t>II.</t>
  </si>
  <si>
    <t>PROVOZNÍ SOUBORY</t>
  </si>
  <si>
    <t>III.</t>
  </si>
  <si>
    <t>STAVEBNÍ OBJEKTY</t>
  </si>
  <si>
    <t>jedn.</t>
  </si>
  <si>
    <t>Kč/jedn.</t>
  </si>
  <si>
    <t>JKSO</t>
  </si>
  <si>
    <t>m.j.</t>
  </si>
  <si>
    <t>množství m.j.</t>
  </si>
  <si>
    <t>Kč/m.j.</t>
  </si>
  <si>
    <t>801 11</t>
  </si>
  <si>
    <t>m3</t>
  </si>
  <si>
    <t>m2</t>
  </si>
  <si>
    <t>kpl</t>
  </si>
  <si>
    <t>m</t>
  </si>
  <si>
    <t>odvoz a poplatek za suť</t>
  </si>
  <si>
    <t>ks</t>
  </si>
  <si>
    <t>V.</t>
  </si>
  <si>
    <t>VI.</t>
  </si>
  <si>
    <t>PRÁCE JINÉHO DODAVATELE</t>
  </si>
  <si>
    <t>Technický dozor investora</t>
  </si>
  <si>
    <t>VII.</t>
  </si>
  <si>
    <t xml:space="preserve">ROZPOČTOVÁ REZERVA </t>
  </si>
  <si>
    <t>VIII.</t>
  </si>
  <si>
    <t>POPLATKY</t>
  </si>
  <si>
    <t>Revize, zkoušky, správní poplatky</t>
  </si>
  <si>
    <t>IX.</t>
  </si>
  <si>
    <t>CELKOVÉ NÁKLADY STAVBY - bez DPH</t>
  </si>
  <si>
    <t>X.</t>
  </si>
  <si>
    <t xml:space="preserve">DPH  </t>
  </si>
  <si>
    <t>XI.</t>
  </si>
  <si>
    <t>CELKOVÉ NÁKLADY VČ. DPH</t>
  </si>
  <si>
    <t>VEDLEJŠÍ NÁKLADY STAVBY</t>
  </si>
  <si>
    <t>DSP</t>
  </si>
  <si>
    <t>828 8</t>
  </si>
  <si>
    <t>Celkem rozpočtové základní náklady :</t>
  </si>
  <si>
    <t>D.1.4.1-Zdravotně technické instalace</t>
  </si>
  <si>
    <t>D.1.4.2-Vytápění</t>
  </si>
  <si>
    <t>D.1.4.3-Zařízení vzduchotechniky</t>
  </si>
  <si>
    <t>D.1.4-Technika prostředí staveb:</t>
  </si>
  <si>
    <t>D.1.1-Architektonické a stavebně-konstrukční řešení</t>
  </si>
  <si>
    <t>odd.1-zemní práce</t>
  </si>
  <si>
    <t>odd.2-základy</t>
  </si>
  <si>
    <t>odd.3-svislé k-ce</t>
  </si>
  <si>
    <t>odd.61-omitky vnitřní</t>
  </si>
  <si>
    <t>odd.62-fasády</t>
  </si>
  <si>
    <t>odd.711-izolace proti vodě</t>
  </si>
  <si>
    <t>odd.764-k-ce klempířské</t>
  </si>
  <si>
    <t>odd.766-kce truhlářské</t>
  </si>
  <si>
    <t>odd.767-k-ce zámečnické</t>
  </si>
  <si>
    <t>odd.771-podlahy z dlaždic</t>
  </si>
  <si>
    <t>odd.776-podlahy povlakové</t>
  </si>
  <si>
    <t>odd.781-obklady keramické</t>
  </si>
  <si>
    <t>odd.784-malby</t>
  </si>
  <si>
    <t>odd.9-dokončující k-ce,bourání,přesun hmot a sutí,lešení</t>
  </si>
  <si>
    <t>izolace nátěrová pod obklad vč.penetrace D+M</t>
  </si>
  <si>
    <t>příprava podkladu vysátí+penetrace</t>
  </si>
  <si>
    <t>izolace nátěrová pod dlažbu vč.penetrace D+M</t>
  </si>
  <si>
    <t>příprava podkladu vysátí+penetrace+broušení</t>
  </si>
  <si>
    <t>Vypracoval:</t>
  </si>
  <si>
    <t>MARK VALA s.r.o.</t>
  </si>
  <si>
    <t>Stavebník</t>
  </si>
  <si>
    <t>zhutněný zásyp</t>
  </si>
  <si>
    <t xml:space="preserve">přesun hmot pro 766 </t>
  </si>
  <si>
    <t xml:space="preserve">přesun hmot pro 764 </t>
  </si>
  <si>
    <t>přesun hmot pro 776</t>
  </si>
  <si>
    <t>přesun hmot pro 771</t>
  </si>
  <si>
    <t xml:space="preserve">přesun hmot pro 781 </t>
  </si>
  <si>
    <t xml:space="preserve">přesun hmot pro 711 </t>
  </si>
  <si>
    <t>D.1.4.4-Plynoinstalace</t>
  </si>
  <si>
    <t>Zpevněné plochy</t>
  </si>
  <si>
    <t>D.1.4.5-Elektroinstalace</t>
  </si>
  <si>
    <t>Autorský dozor investora</t>
  </si>
  <si>
    <t>REKONSTRUKCE SUTERÉNU BUDOVY GYMNÁZIA ŽIDLOCHOVICE</t>
  </si>
  <si>
    <t>Gymnázium Židlochovice, příspěvková organizace</t>
  </si>
  <si>
    <t>bourání zdiva</t>
  </si>
  <si>
    <t>demontáž a zpětná montáž otopných těles</t>
  </si>
  <si>
    <t>Bourání podlah skladba P1, vč. soklíků</t>
  </si>
  <si>
    <t>Bourání podlah skladba P2, vč. Soklíků</t>
  </si>
  <si>
    <t>demontáž a uložení dveří pro zpětnou montáž</t>
  </si>
  <si>
    <t>úklidové práce</t>
  </si>
  <si>
    <t>odstranění omítek</t>
  </si>
  <si>
    <t>odstranění obkladů</t>
  </si>
  <si>
    <t>odstranění okapového chodníku - kačírek</t>
  </si>
  <si>
    <t>odstranění okapového chodníku - dlažba</t>
  </si>
  <si>
    <t>ostatní bourací práce</t>
  </si>
  <si>
    <t>odstranění HI + přizdívka CPP</t>
  </si>
  <si>
    <t>vybourání oken</t>
  </si>
  <si>
    <t>uvedení venkovních ploch do původního stavu</t>
  </si>
  <si>
    <t>odkop zeminy</t>
  </si>
  <si>
    <t>D+M D1 vnitřní dveře 0,9*1,97</t>
  </si>
  <si>
    <t>D+M D2 vnitřní dveře 0,9/0,9*1,97</t>
  </si>
  <si>
    <t>D+M D3 vnitřní dveře 0,9/0,65*1,97</t>
  </si>
  <si>
    <t>D+M D4 vnitřní dveře 0,9*1,97</t>
  </si>
  <si>
    <t>D+M D5 vnitřní dveře 0,88*1,97</t>
  </si>
  <si>
    <t>D+M K1 venkovní parapet, rš 245 mm, d 1,2 m</t>
  </si>
  <si>
    <t>D+M K2 venkovní parapet, rš 245 mm, d 1,13 m</t>
  </si>
  <si>
    <t>D+M K3 venkovní parapet, rš 555 mm, d 1,2 m</t>
  </si>
  <si>
    <t>D+M K4 venkovní parapet, rš 245 mm, d 0,54 m</t>
  </si>
  <si>
    <t>D+M X1 předokenní roleta</t>
  </si>
  <si>
    <t>lešení</t>
  </si>
  <si>
    <t>adhezní můstek a samonivelační stěrka vč.přebroušení</t>
  </si>
  <si>
    <t>D+M P1 PVC, lepidlo vč.soklíků</t>
  </si>
  <si>
    <t>D+M ker.dlažba, vč spárování a lišt</t>
  </si>
  <si>
    <t>základové pasy z betonu C16/20</t>
  </si>
  <si>
    <t>porobetonová příčka tl.150mm</t>
  </si>
  <si>
    <t>zazdění otvoru porobetonovými tvárnicemi</t>
  </si>
  <si>
    <t xml:space="preserve">překlad ocel. Profily IPN 140  </t>
  </si>
  <si>
    <t>omítky sanační vnitřní obvodové stěny do v. 1,5 m viz skladba S1</t>
  </si>
  <si>
    <t>D+M keramické obklady, vč sparování a lišt</t>
  </si>
  <si>
    <r>
      <t xml:space="preserve">omítka stěn hrubá zatř.vč.penetrace </t>
    </r>
    <r>
      <rPr>
        <sz val="8"/>
        <rFont val="Arial CE"/>
        <family val="2"/>
        <charset val="238"/>
      </rPr>
      <t>(pod obklady)</t>
    </r>
  </si>
  <si>
    <t>omítky vnitní stěny a obvodové nad v. 1,5 m viz skladba S2</t>
  </si>
  <si>
    <t>příplatek za rohovníky a omítníky</t>
  </si>
  <si>
    <t>jádrové vrtání - prostupy VZT</t>
  </si>
  <si>
    <t>D+M X2 bílá tabule</t>
  </si>
  <si>
    <t>D+M X3 keramická pylonová tabule s projekčním povrchem</t>
  </si>
  <si>
    <t>D+M X9 kovová šatní skřínka</t>
  </si>
  <si>
    <t>D+M X16 nášlapný kámen</t>
  </si>
  <si>
    <t>odd.5-komunikace</t>
  </si>
  <si>
    <t>schodiště z betonové dlažby 5 schodů</t>
  </si>
  <si>
    <t>gabionová stěna</t>
  </si>
  <si>
    <t>D+M Z1 zábradlí na gabionové stěně</t>
  </si>
  <si>
    <t>D+M sanitární doplňky WC invalida</t>
  </si>
  <si>
    <t>D+M X10 designové pohovky</t>
  </si>
  <si>
    <t xml:space="preserve">montáž elektroinstalace </t>
  </si>
  <si>
    <t>materiál elektroinstalace</t>
  </si>
  <si>
    <t>montáž rozvodnice</t>
  </si>
  <si>
    <t>materiál rozvodnice</t>
  </si>
  <si>
    <t>revize, měření osvětlení</t>
  </si>
  <si>
    <t>D+M plošina pro invalidy</t>
  </si>
  <si>
    <t>okapový chodník kačírek obnova stávající (předpoklad znovupoužití kačírku z 80%)</t>
  </si>
  <si>
    <t>okapový chodník dlažba - obnova stávající (předpoklad znovupoužití dlažby z 80%)</t>
  </si>
  <si>
    <t>zpevněná plocha před relax P2 komplet skladba</t>
  </si>
  <si>
    <t>Kompletační činnost 0,5%</t>
  </si>
  <si>
    <t>kontaktní zateplení soklu XPS 40 - 80 mm, silikonová omítka</t>
  </si>
  <si>
    <t>opravy omítek fasády</t>
  </si>
  <si>
    <t>injektáž zdiva</t>
  </si>
  <si>
    <t>izolace proti vodě bitumenová vč. Penetrace S1</t>
  </si>
  <si>
    <t>hydroizolační stěrka pod obklad</t>
  </si>
  <si>
    <t xml:space="preserve">přesun hmot pro 767 </t>
  </si>
  <si>
    <t>přesun hmot pro 768</t>
  </si>
  <si>
    <t>malby vhodné pro sanační omítky vč.penetrace</t>
  </si>
  <si>
    <t>V Brně, duben 2022</t>
  </si>
  <si>
    <r>
      <t xml:space="preserve">vodorovné přemístění zeminy </t>
    </r>
    <r>
      <rPr>
        <sz val="8"/>
        <rFont val="Arial CE"/>
        <family val="2"/>
        <charset val="238"/>
      </rPr>
      <t>(mimo objekt) a zpět</t>
    </r>
  </si>
  <si>
    <t>Zařízení staveniště (vybudování, provoz, odstranění) 1%</t>
  </si>
  <si>
    <t>BOZP,sanační průzkumy,dílenská dok.,publicita,ostatní 0,5%</t>
  </si>
  <si>
    <t xml:space="preserve">izolace tepelné </t>
  </si>
  <si>
    <t>Zaregulování, vyvážení systému vytápění</t>
  </si>
  <si>
    <t>Rozvod  Cu potrubí včetně tvarovek</t>
  </si>
  <si>
    <t xml:space="preserve">Armatury </t>
  </si>
  <si>
    <t>Otopná tělesa, včetně regulačních šroubení, termostaticých hlavic</t>
  </si>
  <si>
    <t>Demontáže</t>
  </si>
  <si>
    <t>Diagonální potrubní ventilátory
Průtok vzduchu: 80-150 m3/h (odvod).</t>
  </si>
  <si>
    <t xml:space="preserve">Potrubní prvky - regulační klapky a regulátory průtoku </t>
  </si>
  <si>
    <t xml:space="preserve">Potrubní prvky - nasávací a výfukové kusy </t>
  </si>
  <si>
    <t xml:space="preserve">Ocelové pozinkované potrubí kruhové skupiny I., tř. těsnosti C dle EN 12237 </t>
  </si>
  <si>
    <t xml:space="preserve">Příslušenství, montážní a spojovací materiál, zprovoznění </t>
  </si>
  <si>
    <t>Revize plynového zařízení, revize rozvodů, tlakové zkoušky</t>
  </si>
  <si>
    <t>Rozvod  plynu z ocelového bezešvého potrubí včetně tvarovek</t>
  </si>
  <si>
    <t xml:space="preserve">Sekání, drážkování, montážní práce </t>
  </si>
  <si>
    <t>Vnitřní kanalizace</t>
  </si>
  <si>
    <t xml:space="preserve">Potrubí PP-HT, včetně tvarovek a izolace </t>
  </si>
  <si>
    <t xml:space="preserve">Zápachové uzávěrky </t>
  </si>
  <si>
    <t xml:space="preserve">Lapače splavenin vč. dešťové kanalizace z PVC KG včetně tvarovek  včetně obsypu </t>
  </si>
  <si>
    <t xml:space="preserve">Ležatá kanalizace v základech PVC KG včetně tvarovek  včetně obsypu </t>
  </si>
  <si>
    <t>Výkopové práce, bouraní základů, včetně obsypu potrubí a zásypu výkopkem</t>
  </si>
  <si>
    <t>Vnitřní vodovod</t>
  </si>
  <si>
    <t>Potrubí PPR, včetně tvarovek a tepelné izolace</t>
  </si>
  <si>
    <t xml:space="preserve">Zařizovací předměty </t>
  </si>
  <si>
    <t>Výtokové armatury - baterie</t>
  </si>
  <si>
    <t>přesun hmot 3% z HSV</t>
  </si>
  <si>
    <t>SO 01: Suterén gymnázia Židlochovice</t>
  </si>
  <si>
    <t>Pomocný propočet</t>
  </si>
  <si>
    <t>do 1,5</t>
  </si>
  <si>
    <t>nad 1,5</t>
  </si>
  <si>
    <t>Ostatní stavební náklady</t>
  </si>
  <si>
    <t>odd.768-k-ce Vybavení</t>
  </si>
  <si>
    <t>Nábytek viz specifikace (samostatný excel)</t>
  </si>
  <si>
    <t>Energetická opatření dle specifikace 044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</si>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</sst>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K_č_-;\-* #,##0\ _K_č_-;_-* &quot;-&quot;\ _K_č_-;_-@_-"/>
    <numFmt numFmtId="164" formatCode="0.00\ %"/>
    <numFmt numFmtId="165" formatCode="0\ %"/>
  </numFmts>
  <fonts count="27" x14ac:knownFonts="1"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i/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sz val="12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 CE"/>
      <family val="2"/>
      <charset val="238"/>
    </font>
    <font>
      <b/>
      <sz val="11"/>
      <name val="Arial"/>
      <family val="2"/>
      <charset val="238"/>
    </font>
    <font>
      <sz val="8"/>
      <name val="Arial CE"/>
      <charset val="238"/>
    </font>
    <font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12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i/>
      <sz val="8"/>
      <color theme="1"/>
      <name val="Arial ce"/>
    </font>
    <font>
      <i/>
      <sz val="8"/>
      <name val="Arial"/>
      <family val="2"/>
      <charset val="238"/>
    </font>
    <font>
      <i/>
      <sz val="8"/>
      <color theme="1"/>
      <name val="Arial ce"/>
      <charset val="238"/>
    </font>
    <font>
      <b/>
      <i/>
      <sz val="8"/>
      <color theme="1"/>
      <name val="Arial ce"/>
      <charset val="238"/>
    </font>
    <font>
      <b/>
      <sz val="11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F2F2F2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FFFFCC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</borders>
  <cellStyleXfs count="4">
    <xf numFmtId="0" fontId="0" fillId="0" borderId="0"/>
    <xf numFmtId="40" fontId="9" fillId="0" borderId="0" applyBorder="0" applyProtection="0"/>
    <xf numFmtId="38" fontId="9" fillId="0" borderId="0" applyBorder="0" applyProtection="0"/>
    <xf numFmtId="41" fontId="9" fillId="0" borderId="0" applyFont="0" applyFill="0" applyBorder="0" applyAlignment="0" applyProtection="0"/>
  </cellStyleXfs>
  <cellXfs count="208">
    <xf numFmtId="0" fontId="0" fillId="0" borderId="0" xfId="0"/>
    <xf numFmtId="0" fontId="2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4" fillId="0" borderId="0" xfId="0" applyFont="1"/>
    <xf numFmtId="0" fontId="1" fillId="3" borderId="2" xfId="0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3" fillId="4" borderId="4" xfId="0" applyFont="1" applyFill="1" applyBorder="1" applyAlignment="1">
      <alignment horizontal="left"/>
    </xf>
    <xf numFmtId="0" fontId="5" fillId="4" borderId="5" xfId="0" applyFont="1" applyFill="1" applyBorder="1"/>
    <xf numFmtId="0" fontId="6" fillId="4" borderId="5" xfId="0" applyFont="1" applyFill="1" applyBorder="1"/>
    <xf numFmtId="4" fontId="7" fillId="4" borderId="5" xfId="2" applyNumberFormat="1" applyFont="1" applyFill="1" applyBorder="1" applyAlignment="1" applyProtection="1">
      <alignment horizontal="center"/>
    </xf>
    <xf numFmtId="4" fontId="7" fillId="4" borderId="5" xfId="2" applyNumberFormat="1" applyFont="1" applyFill="1" applyBorder="1" applyAlignment="1" applyProtection="1">
      <alignment horizontal="right"/>
    </xf>
    <xf numFmtId="4" fontId="7" fillId="4" borderId="5" xfId="0" applyNumberFormat="1" applyFont="1" applyFill="1" applyBorder="1" applyAlignment="1">
      <alignment horizontal="right"/>
    </xf>
    <xf numFmtId="0" fontId="7" fillId="0" borderId="0" xfId="0" applyFont="1"/>
    <xf numFmtId="0" fontId="7" fillId="4" borderId="1" xfId="0" applyFont="1" applyFill="1" applyBorder="1"/>
    <xf numFmtId="0" fontId="7" fillId="4" borderId="2" xfId="0" applyFont="1" applyFill="1" applyBorder="1"/>
    <xf numFmtId="4" fontId="7" fillId="4" borderId="2" xfId="0" applyNumberFormat="1" applyFont="1" applyFill="1" applyBorder="1" applyAlignment="1">
      <alignment horizontal="right"/>
    </xf>
    <xf numFmtId="0" fontId="4" fillId="0" borderId="6" xfId="0" applyFont="1" applyBorder="1"/>
    <xf numFmtId="4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right"/>
    </xf>
    <xf numFmtId="4" fontId="4" fillId="0" borderId="0" xfId="2" applyNumberFormat="1" applyFont="1" applyBorder="1" applyAlignment="1" applyProtection="1">
      <alignment horizontal="center"/>
    </xf>
    <xf numFmtId="4" fontId="4" fillId="0" borderId="0" xfId="2" applyNumberFormat="1" applyFont="1" applyBorder="1" applyAlignment="1" applyProtection="1">
      <alignment horizontal="right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4" fontId="4" fillId="0" borderId="8" xfId="2" applyNumberFormat="1" applyFont="1" applyBorder="1" applyAlignment="1" applyProtection="1">
      <alignment horizontal="center"/>
    </xf>
    <xf numFmtId="4" fontId="4" fillId="0" borderId="8" xfId="2" applyNumberFormat="1" applyFont="1" applyBorder="1" applyAlignment="1" applyProtection="1">
      <alignment horizontal="right"/>
    </xf>
    <xf numFmtId="4" fontId="4" fillId="0" borderId="7" xfId="0" applyNumberFormat="1" applyFont="1" applyBorder="1" applyAlignment="1">
      <alignment horizontal="right"/>
    </xf>
    <xf numFmtId="0" fontId="8" fillId="0" borderId="0" xfId="0" applyFont="1"/>
    <xf numFmtId="0" fontId="7" fillId="0" borderId="1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38" fontId="7" fillId="0" borderId="12" xfId="2" applyFont="1" applyBorder="1" applyAlignment="1" applyProtection="1">
      <alignment horizontal="center"/>
    </xf>
    <xf numFmtId="4" fontId="7" fillId="0" borderId="9" xfId="2" applyNumberFormat="1" applyFont="1" applyBorder="1" applyAlignment="1" applyProtection="1">
      <alignment horizontal="center"/>
    </xf>
    <xf numFmtId="4" fontId="7" fillId="0" borderId="9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0" fontId="4" fillId="0" borderId="13" xfId="0" applyFont="1" applyBorder="1" applyAlignment="1">
      <alignment horizontal="left"/>
    </xf>
    <xf numFmtId="0" fontId="4" fillId="0" borderId="3" xfId="0" applyFont="1" applyBorder="1" applyAlignment="1">
      <alignment horizontal="right"/>
    </xf>
    <xf numFmtId="4" fontId="4" fillId="0" borderId="14" xfId="2" applyNumberFormat="1" applyFont="1" applyBorder="1" applyAlignment="1" applyProtection="1">
      <alignment horizontal="center"/>
    </xf>
    <xf numFmtId="4" fontId="4" fillId="0" borderId="14" xfId="2" applyNumberFormat="1" applyFont="1" applyBorder="1" applyAlignment="1" applyProtection="1">
      <alignment horizontal="right"/>
    </xf>
    <xf numFmtId="4" fontId="4" fillId="0" borderId="7" xfId="0" applyNumberFormat="1" applyFont="1" applyBorder="1" applyAlignment="1">
      <alignment horizontal="right" wrapText="1"/>
    </xf>
    <xf numFmtId="0" fontId="4" fillId="0" borderId="15" xfId="0" applyFont="1" applyBorder="1" applyAlignment="1">
      <alignment horizontal="left"/>
    </xf>
    <xf numFmtId="0" fontId="4" fillId="0" borderId="13" xfId="0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 wrapText="1"/>
    </xf>
    <xf numFmtId="3" fontId="4" fillId="0" borderId="14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4" fontId="7" fillId="4" borderId="2" xfId="2" applyNumberFormat="1" applyFont="1" applyFill="1" applyBorder="1" applyAlignment="1" applyProtection="1">
      <alignment horizontal="right"/>
    </xf>
    <xf numFmtId="4" fontId="7" fillId="4" borderId="7" xfId="1" applyNumberFormat="1" applyFont="1" applyFill="1" applyBorder="1" applyAlignment="1" applyProtection="1">
      <alignment horizontal="right"/>
    </xf>
    <xf numFmtId="3" fontId="7" fillId="4" borderId="7" xfId="1" applyNumberFormat="1" applyFont="1" applyFill="1" applyBorder="1" applyAlignment="1" applyProtection="1">
      <alignment horizontal="right"/>
    </xf>
    <xf numFmtId="4" fontId="4" fillId="0" borderId="8" xfId="1" applyNumberFormat="1" applyFont="1" applyBorder="1" applyAlignment="1" applyProtection="1">
      <alignment horizontal="right"/>
    </xf>
    <xf numFmtId="3" fontId="4" fillId="0" borderId="8" xfId="1" applyNumberFormat="1" applyFont="1" applyBorder="1" applyAlignment="1" applyProtection="1">
      <alignment horizontal="right"/>
    </xf>
    <xf numFmtId="0" fontId="7" fillId="0" borderId="6" xfId="0" applyFont="1" applyBorder="1"/>
    <xf numFmtId="4" fontId="7" fillId="0" borderId="0" xfId="0" applyNumberFormat="1" applyFont="1" applyAlignment="1">
      <alignment horizontal="right"/>
    </xf>
    <xf numFmtId="164" fontId="7" fillId="4" borderId="7" xfId="1" applyNumberFormat="1" applyFont="1" applyFill="1" applyBorder="1" applyAlignment="1" applyProtection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8" xfId="1" applyNumberFormat="1" applyFont="1" applyBorder="1" applyAlignment="1" applyProtection="1">
      <alignment horizontal="right"/>
    </xf>
    <xf numFmtId="0" fontId="7" fillId="4" borderId="11" xfId="0" applyFont="1" applyFill="1" applyBorder="1"/>
    <xf numFmtId="0" fontId="7" fillId="4" borderId="16" xfId="0" applyFont="1" applyFill="1" applyBorder="1"/>
    <xf numFmtId="164" fontId="7" fillId="4" borderId="10" xfId="1" applyNumberFormat="1" applyFont="1" applyFill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4" fontId="4" fillId="0" borderId="7" xfId="1" applyNumberFormat="1" applyFont="1" applyBorder="1" applyAlignment="1" applyProtection="1">
      <alignment horizontal="right"/>
    </xf>
    <xf numFmtId="164" fontId="4" fillId="0" borderId="7" xfId="1" applyNumberFormat="1" applyFont="1" applyBorder="1" applyAlignment="1" applyProtection="1">
      <alignment horizontal="right"/>
    </xf>
    <xf numFmtId="3" fontId="4" fillId="0" borderId="7" xfId="1" applyNumberFormat="1" applyFont="1" applyBorder="1" applyAlignment="1" applyProtection="1">
      <alignment horizontal="right"/>
    </xf>
    <xf numFmtId="4" fontId="4" fillId="0" borderId="17" xfId="1" applyNumberFormat="1" applyFont="1" applyBorder="1" applyAlignment="1" applyProtection="1">
      <alignment horizontal="right"/>
    </xf>
    <xf numFmtId="4" fontId="4" fillId="0" borderId="18" xfId="1" applyNumberFormat="1" applyFont="1" applyBorder="1" applyAlignment="1" applyProtection="1">
      <alignment horizontal="right"/>
    </xf>
    <xf numFmtId="0" fontId="7" fillId="3" borderId="19" xfId="0" applyFont="1" applyFill="1" applyBorder="1"/>
    <xf numFmtId="0" fontId="7" fillId="3" borderId="20" xfId="0" applyFont="1" applyFill="1" applyBorder="1"/>
    <xf numFmtId="4" fontId="7" fillId="3" borderId="20" xfId="0" applyNumberFormat="1" applyFont="1" applyFill="1" applyBorder="1" applyAlignment="1">
      <alignment horizontal="right"/>
    </xf>
    <xf numFmtId="4" fontId="7" fillId="3" borderId="19" xfId="1" applyNumberFormat="1" applyFont="1" applyFill="1" applyBorder="1" applyAlignment="1" applyProtection="1">
      <alignment horizontal="right"/>
    </xf>
    <xf numFmtId="4" fontId="7" fillId="3" borderId="20" xfId="1" applyNumberFormat="1" applyFont="1" applyFill="1" applyBorder="1" applyAlignment="1" applyProtection="1">
      <alignment horizontal="right"/>
    </xf>
    <xf numFmtId="3" fontId="7" fillId="3" borderId="21" xfId="1" applyNumberFormat="1" applyFont="1" applyFill="1" applyBorder="1" applyAlignment="1" applyProtection="1">
      <alignment horizontal="right"/>
    </xf>
    <xf numFmtId="4" fontId="4" fillId="0" borderId="0" xfId="1" applyNumberFormat="1" applyFont="1" applyBorder="1" applyAlignment="1" applyProtection="1">
      <alignment horizontal="right"/>
    </xf>
    <xf numFmtId="4" fontId="4" fillId="0" borderId="0" xfId="0" applyNumberFormat="1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left" wrapText="1"/>
    </xf>
    <xf numFmtId="0" fontId="7" fillId="5" borderId="6" xfId="0" applyFont="1" applyFill="1" applyBorder="1"/>
    <xf numFmtId="0" fontId="7" fillId="5" borderId="0" xfId="0" applyFont="1" applyFill="1"/>
    <xf numFmtId="4" fontId="7" fillId="5" borderId="0" xfId="0" applyNumberFormat="1" applyFont="1" applyFill="1" applyAlignment="1">
      <alignment horizontal="center"/>
    </xf>
    <xf numFmtId="4" fontId="7" fillId="5" borderId="0" xfId="0" applyNumberFormat="1" applyFont="1" applyFill="1" applyAlignment="1">
      <alignment horizontal="right"/>
    </xf>
    <xf numFmtId="0" fontId="7" fillId="6" borderId="0" xfId="0" applyFont="1" applyFill="1"/>
    <xf numFmtId="4" fontId="4" fillId="0" borderId="13" xfId="0" applyNumberFormat="1" applyFont="1" applyBorder="1" applyAlignment="1">
      <alignment horizontal="right"/>
    </xf>
    <xf numFmtId="0" fontId="6" fillId="0" borderId="13" xfId="0" applyFont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10" fillId="0" borderId="13" xfId="0" applyFont="1" applyBorder="1" applyAlignment="1">
      <alignment horizontal="left"/>
    </xf>
    <xf numFmtId="4" fontId="10" fillId="0" borderId="14" xfId="2" applyNumberFormat="1" applyFont="1" applyBorder="1" applyAlignment="1" applyProtection="1">
      <alignment horizontal="center"/>
    </xf>
    <xf numFmtId="4" fontId="10" fillId="0" borderId="14" xfId="2" applyNumberFormat="1" applyFont="1" applyBorder="1" applyAlignment="1" applyProtection="1">
      <alignment horizontal="right"/>
    </xf>
    <xf numFmtId="4" fontId="10" fillId="0" borderId="14" xfId="0" applyNumberFormat="1" applyFont="1" applyBorder="1" applyAlignment="1">
      <alignment horizontal="right"/>
    </xf>
    <xf numFmtId="3" fontId="10" fillId="0" borderId="14" xfId="0" applyNumberFormat="1" applyFont="1" applyBorder="1" applyAlignment="1">
      <alignment horizontal="right"/>
    </xf>
    <xf numFmtId="0" fontId="10" fillId="0" borderId="0" xfId="0" applyFont="1"/>
    <xf numFmtId="0" fontId="11" fillId="0" borderId="15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4" fontId="11" fillId="0" borderId="14" xfId="2" applyNumberFormat="1" applyFont="1" applyBorder="1" applyAlignment="1" applyProtection="1">
      <alignment horizontal="center"/>
    </xf>
    <xf numFmtId="4" fontId="11" fillId="0" borderId="14" xfId="2" applyNumberFormat="1" applyFont="1" applyBorder="1" applyAlignment="1" applyProtection="1">
      <alignment horizontal="right"/>
    </xf>
    <xf numFmtId="4" fontId="11" fillId="0" borderId="14" xfId="0" applyNumberFormat="1" applyFont="1" applyBorder="1" applyAlignment="1">
      <alignment horizontal="right"/>
    </xf>
    <xf numFmtId="3" fontId="11" fillId="0" borderId="14" xfId="0" applyNumberFormat="1" applyFont="1" applyBorder="1" applyAlignment="1">
      <alignment horizontal="right"/>
    </xf>
    <xf numFmtId="0" fontId="11" fillId="0" borderId="0" xfId="0" applyFont="1"/>
    <xf numFmtId="0" fontId="4" fillId="5" borderId="6" xfId="0" applyFont="1" applyFill="1" applyBorder="1"/>
    <xf numFmtId="0" fontId="4" fillId="5" borderId="0" xfId="0" applyFont="1" applyFill="1"/>
    <xf numFmtId="4" fontId="4" fillId="5" borderId="0" xfId="0" applyNumberFormat="1" applyFont="1" applyFill="1" applyAlignment="1">
      <alignment horizontal="center"/>
    </xf>
    <xf numFmtId="4" fontId="4" fillId="5" borderId="0" xfId="0" applyNumberFormat="1" applyFont="1" applyFill="1" applyAlignment="1">
      <alignment horizontal="right"/>
    </xf>
    <xf numFmtId="0" fontId="4" fillId="6" borderId="0" xfId="0" applyFont="1" applyFill="1"/>
    <xf numFmtId="0" fontId="12" fillId="5" borderId="0" xfId="0" applyFont="1" applyFill="1"/>
    <xf numFmtId="0" fontId="3" fillId="0" borderId="0" xfId="0" applyFont="1"/>
    <xf numFmtId="0" fontId="3" fillId="7" borderId="1" xfId="0" applyFont="1" applyFill="1" applyBorder="1"/>
    <xf numFmtId="0" fontId="3" fillId="7" borderId="2" xfId="0" applyFont="1" applyFill="1" applyBorder="1"/>
    <xf numFmtId="4" fontId="3" fillId="7" borderId="2" xfId="0" applyNumberFormat="1" applyFont="1" applyFill="1" applyBorder="1" applyAlignment="1">
      <alignment horizontal="center"/>
    </xf>
    <xf numFmtId="4" fontId="3" fillId="7" borderId="2" xfId="0" applyNumberFormat="1" applyFont="1" applyFill="1" applyBorder="1" applyAlignment="1">
      <alignment horizontal="right"/>
    </xf>
    <xf numFmtId="0" fontId="3" fillId="7" borderId="3" xfId="0" applyFont="1" applyFill="1" applyBorder="1"/>
    <xf numFmtId="4" fontId="3" fillId="7" borderId="9" xfId="0" applyNumberFormat="1" applyFont="1" applyFill="1" applyBorder="1" applyAlignment="1">
      <alignment horizontal="center"/>
    </xf>
    <xf numFmtId="4" fontId="3" fillId="7" borderId="9" xfId="0" applyNumberFormat="1" applyFont="1" applyFill="1" applyBorder="1" applyAlignment="1">
      <alignment horizontal="right"/>
    </xf>
    <xf numFmtId="4" fontId="3" fillId="7" borderId="7" xfId="0" applyNumberFormat="1" applyFont="1" applyFill="1" applyBorder="1" applyAlignment="1">
      <alignment horizontal="right"/>
    </xf>
    <xf numFmtId="4" fontId="3" fillId="7" borderId="8" xfId="0" applyNumberFormat="1" applyFont="1" applyFill="1" applyBorder="1" applyAlignment="1">
      <alignment horizontal="right"/>
    </xf>
    <xf numFmtId="0" fontId="11" fillId="8" borderId="15" xfId="0" applyFont="1" applyFill="1" applyBorder="1" applyAlignment="1">
      <alignment horizontal="left"/>
    </xf>
    <xf numFmtId="0" fontId="3" fillId="8" borderId="13" xfId="0" applyFont="1" applyFill="1" applyBorder="1" applyAlignment="1">
      <alignment horizontal="left"/>
    </xf>
    <xf numFmtId="0" fontId="11" fillId="8" borderId="13" xfId="0" applyFont="1" applyFill="1" applyBorder="1" applyAlignment="1">
      <alignment horizontal="left"/>
    </xf>
    <xf numFmtId="4" fontId="11" fillId="8" borderId="14" xfId="2" applyNumberFormat="1" applyFont="1" applyFill="1" applyBorder="1" applyAlignment="1" applyProtection="1">
      <alignment horizontal="center"/>
    </xf>
    <xf numFmtId="4" fontId="11" fillId="8" borderId="14" xfId="2" applyNumberFormat="1" applyFont="1" applyFill="1" applyBorder="1" applyAlignment="1" applyProtection="1">
      <alignment horizontal="right"/>
    </xf>
    <xf numFmtId="4" fontId="11" fillId="8" borderId="14" xfId="0" applyNumberFormat="1" applyFont="1" applyFill="1" applyBorder="1" applyAlignment="1">
      <alignment horizontal="right"/>
    </xf>
    <xf numFmtId="3" fontId="11" fillId="8" borderId="14" xfId="0" applyNumberFormat="1" applyFont="1" applyFill="1" applyBorder="1" applyAlignment="1">
      <alignment horizontal="right"/>
    </xf>
    <xf numFmtId="4" fontId="4" fillId="0" borderId="14" xfId="3" applyNumberFormat="1" applyFont="1" applyBorder="1" applyAlignment="1">
      <alignment horizontal="center"/>
    </xf>
    <xf numFmtId="4" fontId="4" fillId="0" borderId="14" xfId="3" applyNumberFormat="1" applyFont="1" applyBorder="1" applyAlignment="1">
      <alignment horizontal="right"/>
    </xf>
    <xf numFmtId="3" fontId="4" fillId="0" borderId="0" xfId="0" applyNumberFormat="1" applyFont="1"/>
    <xf numFmtId="0" fontId="12" fillId="0" borderId="13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4" fontId="8" fillId="0" borderId="14" xfId="3" applyNumberFormat="1" applyFont="1" applyBorder="1" applyAlignment="1">
      <alignment horizontal="center"/>
    </xf>
    <xf numFmtId="4" fontId="8" fillId="0" borderId="14" xfId="3" applyNumberFormat="1" applyFont="1" applyBorder="1" applyAlignment="1">
      <alignment horizontal="right"/>
    </xf>
    <xf numFmtId="4" fontId="8" fillId="0" borderId="14" xfId="0" applyNumberFormat="1" applyFont="1" applyBorder="1" applyAlignment="1">
      <alignment horizontal="right"/>
    </xf>
    <xf numFmtId="3" fontId="8" fillId="0" borderId="14" xfId="0" applyNumberFormat="1" applyFont="1" applyBorder="1" applyAlignment="1">
      <alignment horizontal="right"/>
    </xf>
    <xf numFmtId="3" fontId="8" fillId="0" borderId="0" xfId="0" applyNumberFormat="1" applyFont="1"/>
    <xf numFmtId="0" fontId="12" fillId="0" borderId="15" xfId="0" applyFont="1" applyBorder="1" applyAlignment="1">
      <alignment horizontal="left"/>
    </xf>
    <xf numFmtId="4" fontId="12" fillId="0" borderId="14" xfId="3" applyNumberFormat="1" applyFont="1" applyBorder="1" applyAlignment="1">
      <alignment horizontal="center"/>
    </xf>
    <xf numFmtId="4" fontId="12" fillId="0" borderId="14" xfId="3" applyNumberFormat="1" applyFont="1" applyBorder="1" applyAlignment="1">
      <alignment horizontal="right"/>
    </xf>
    <xf numFmtId="4" fontId="12" fillId="0" borderId="14" xfId="0" applyNumberFormat="1" applyFont="1" applyBorder="1" applyAlignment="1">
      <alignment horizontal="right"/>
    </xf>
    <xf numFmtId="3" fontId="12" fillId="0" borderId="14" xfId="0" applyNumberFormat="1" applyFont="1" applyBorder="1" applyAlignment="1">
      <alignment horizontal="right"/>
    </xf>
    <xf numFmtId="0" fontId="12" fillId="0" borderId="0" xfId="0" applyFont="1"/>
    <xf numFmtId="3" fontId="12" fillId="0" borderId="0" xfId="0" applyNumberFormat="1" applyFont="1"/>
    <xf numFmtId="3" fontId="2" fillId="2" borderId="2" xfId="0" applyNumberFormat="1" applyFont="1" applyFill="1" applyBorder="1" applyAlignment="1">
      <alignment vertical="center"/>
    </xf>
    <xf numFmtId="3" fontId="1" fillId="2" borderId="2" xfId="0" applyNumberFormat="1" applyFont="1" applyFill="1" applyBorder="1" applyAlignment="1">
      <alignment vertical="center"/>
    </xf>
    <xf numFmtId="3" fontId="1" fillId="3" borderId="2" xfId="0" applyNumberFormat="1" applyFont="1" applyFill="1" applyBorder="1" applyAlignment="1">
      <alignment horizontal="right" vertical="center" wrapText="1"/>
    </xf>
    <xf numFmtId="3" fontId="7" fillId="4" borderId="5" xfId="0" applyNumberFormat="1" applyFont="1" applyFill="1" applyBorder="1" applyAlignment="1">
      <alignment horizontal="right"/>
    </xf>
    <xf numFmtId="3" fontId="3" fillId="7" borderId="2" xfId="0" applyNumberFormat="1" applyFont="1" applyFill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7" fillId="5" borderId="0" xfId="0" applyNumberFormat="1" applyFont="1" applyFill="1" applyAlignment="1">
      <alignment horizontal="right"/>
    </xf>
    <xf numFmtId="3" fontId="4" fillId="5" borderId="0" xfId="0" applyNumberFormat="1" applyFont="1" applyFill="1" applyAlignment="1">
      <alignment horizontal="right"/>
    </xf>
    <xf numFmtId="3" fontId="3" fillId="7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4" fillId="0" borderId="17" xfId="1" applyNumberFormat="1" applyFont="1" applyBorder="1" applyAlignment="1" applyProtection="1">
      <alignment horizontal="right"/>
    </xf>
    <xf numFmtId="3" fontId="4" fillId="0" borderId="0" xfId="1" applyNumberFormat="1" applyFont="1" applyBorder="1" applyAlignment="1" applyProtection="1">
      <alignment horizontal="right"/>
    </xf>
    <xf numFmtId="4" fontId="4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13" fillId="2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left" vertical="center"/>
    </xf>
    <xf numFmtId="165" fontId="14" fillId="4" borderId="7" xfId="1" applyNumberFormat="1" applyFont="1" applyFill="1" applyBorder="1" applyAlignment="1" applyProtection="1">
      <alignment horizontal="right"/>
    </xf>
    <xf numFmtId="0" fontId="15" fillId="2" borderId="2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left" wrapText="1"/>
    </xf>
    <xf numFmtId="3" fontId="17" fillId="0" borderId="14" xfId="0" applyNumberFormat="1" applyFont="1" applyBorder="1" applyAlignment="1">
      <alignment horizontal="right"/>
    </xf>
    <xf numFmtId="3" fontId="18" fillId="0" borderId="14" xfId="0" applyNumberFormat="1" applyFont="1" applyBorder="1" applyAlignment="1">
      <alignment horizontal="right"/>
    </xf>
    <xf numFmtId="3" fontId="19" fillId="0" borderId="14" xfId="0" applyNumberFormat="1" applyFont="1" applyBorder="1" applyAlignment="1">
      <alignment horizontal="right"/>
    </xf>
    <xf numFmtId="3" fontId="20" fillId="0" borderId="14" xfId="0" applyNumberFormat="1" applyFont="1" applyBorder="1" applyAlignment="1">
      <alignment horizontal="right"/>
    </xf>
    <xf numFmtId="3" fontId="21" fillId="4" borderId="7" xfId="1" applyNumberFormat="1" applyFont="1" applyFill="1" applyBorder="1" applyAlignment="1" applyProtection="1">
      <alignment horizontal="right"/>
    </xf>
    <xf numFmtId="3" fontId="17" fillId="0" borderId="8" xfId="1" applyNumberFormat="1" applyFont="1" applyBorder="1" applyAlignment="1" applyProtection="1">
      <alignment horizontal="right"/>
    </xf>
    <xf numFmtId="4" fontId="4" fillId="0" borderId="13" xfId="3" applyNumberFormat="1" applyFont="1" applyBorder="1" applyAlignment="1">
      <alignment horizontal="center"/>
    </xf>
    <xf numFmtId="4" fontId="4" fillId="0" borderId="13" xfId="3" applyNumberFormat="1" applyFont="1" applyBorder="1" applyAlignment="1">
      <alignment horizontal="right"/>
    </xf>
    <xf numFmtId="0" fontId="22" fillId="0" borderId="22" xfId="0" applyFont="1" applyBorder="1" applyAlignment="1">
      <alignment horizontal="left"/>
    </xf>
    <xf numFmtId="0" fontId="23" fillId="0" borderId="22" xfId="0" applyFont="1" applyBorder="1" applyAlignment="1">
      <alignment horizontal="left"/>
    </xf>
    <xf numFmtId="0" fontId="22" fillId="0" borderId="22" xfId="0" applyFont="1" applyBorder="1" applyAlignment="1">
      <alignment horizontal="left" wrapText="1"/>
    </xf>
    <xf numFmtId="3" fontId="24" fillId="0" borderId="23" xfId="0" applyNumberFormat="1" applyFont="1" applyBorder="1" applyAlignment="1">
      <alignment horizontal="right"/>
    </xf>
    <xf numFmtId="0" fontId="25" fillId="0" borderId="22" xfId="0" applyFont="1" applyBorder="1" applyAlignment="1">
      <alignment horizontal="left"/>
    </xf>
    <xf numFmtId="3" fontId="24" fillId="0" borderId="0" xfId="0" applyNumberFormat="1" applyFont="1" applyAlignment="1">
      <alignment horizontal="right"/>
    </xf>
    <xf numFmtId="4" fontId="4" fillId="0" borderId="0" xfId="0" applyNumberFormat="1" applyFont="1" applyBorder="1"/>
    <xf numFmtId="4" fontId="3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4" fontId="4" fillId="3" borderId="2" xfId="0" applyNumberFormat="1" applyFont="1" applyFill="1" applyBorder="1" applyAlignment="1">
      <alignment vertical="center" wrapText="1"/>
    </xf>
    <xf numFmtId="4" fontId="7" fillId="4" borderId="5" xfId="0" applyNumberFormat="1" applyFont="1" applyFill="1" applyBorder="1"/>
    <xf numFmtId="3" fontId="3" fillId="7" borderId="1" xfId="0" applyNumberFormat="1" applyFont="1" applyFill="1" applyBorder="1"/>
    <xf numFmtId="3" fontId="4" fillId="0" borderId="6" xfId="0" applyNumberFormat="1" applyFont="1" applyBorder="1"/>
    <xf numFmtId="3" fontId="6" fillId="5" borderId="6" xfId="0" applyNumberFormat="1" applyFont="1" applyFill="1" applyBorder="1"/>
    <xf numFmtId="3" fontId="4" fillId="5" borderId="6" xfId="0" applyNumberFormat="1" applyFont="1" applyFill="1" applyBorder="1"/>
    <xf numFmtId="3" fontId="7" fillId="5" borderId="6" xfId="0" applyNumberFormat="1" applyFont="1" applyFill="1" applyBorder="1"/>
    <xf numFmtId="4" fontId="4" fillId="0" borderId="6" xfId="0" applyNumberFormat="1" applyFont="1" applyBorder="1"/>
    <xf numFmtId="3" fontId="3" fillId="7" borderId="11" xfId="0" applyNumberFormat="1" applyFont="1" applyFill="1" applyBorder="1"/>
    <xf numFmtId="3" fontId="4" fillId="0" borderId="1" xfId="0" applyNumberFormat="1" applyFont="1" applyBorder="1"/>
    <xf numFmtId="3" fontId="7" fillId="0" borderId="11" xfId="0" applyNumberFormat="1" applyFont="1" applyBorder="1"/>
    <xf numFmtId="3" fontId="4" fillId="0" borderId="15" xfId="0" applyNumberFormat="1" applyFont="1" applyBorder="1"/>
    <xf numFmtId="3" fontId="3" fillId="8" borderId="1" xfId="0" applyNumberFormat="1" applyFont="1" applyFill="1" applyBorder="1"/>
    <xf numFmtId="3" fontId="6" fillId="0" borderId="1" xfId="0" applyNumberFormat="1" applyFont="1" applyBorder="1"/>
    <xf numFmtId="3" fontId="12" fillId="0" borderId="1" xfId="0" applyNumberFormat="1" applyFont="1" applyBorder="1"/>
    <xf numFmtId="3" fontId="8" fillId="0" borderId="1" xfId="0" applyNumberFormat="1" applyFont="1" applyBorder="1"/>
    <xf numFmtId="3" fontId="11" fillId="0" borderId="1" xfId="0" applyNumberFormat="1" applyFont="1" applyBorder="1"/>
    <xf numFmtId="3" fontId="3" fillId="0" borderId="1" xfId="0" applyNumberFormat="1" applyFont="1" applyBorder="1"/>
    <xf numFmtId="3" fontId="7" fillId="4" borderId="1" xfId="1" applyNumberFormat="1" applyFont="1" applyFill="1" applyBorder="1" applyAlignment="1" applyProtection="1">
      <alignment horizontal="right"/>
    </xf>
    <xf numFmtId="3" fontId="4" fillId="0" borderId="6" xfId="1" applyNumberFormat="1" applyFont="1" applyBorder="1" applyAlignment="1" applyProtection="1">
      <alignment horizontal="right"/>
    </xf>
    <xf numFmtId="4" fontId="4" fillId="0" borderId="6" xfId="1" applyNumberFormat="1" applyFont="1" applyBorder="1" applyAlignment="1" applyProtection="1">
      <alignment horizontal="right"/>
    </xf>
    <xf numFmtId="3" fontId="7" fillId="4" borderId="11" xfId="1" applyNumberFormat="1" applyFont="1" applyFill="1" applyBorder="1" applyAlignment="1" applyProtection="1">
      <alignment horizontal="right"/>
    </xf>
    <xf numFmtId="3" fontId="4" fillId="0" borderId="1" xfId="1" applyNumberFormat="1" applyFont="1" applyBorder="1" applyAlignment="1" applyProtection="1">
      <alignment horizontal="right"/>
    </xf>
    <xf numFmtId="3" fontId="7" fillId="3" borderId="19" xfId="1" applyNumberFormat="1" applyFont="1" applyFill="1" applyBorder="1" applyAlignment="1" applyProtection="1">
      <alignment horizontal="right"/>
    </xf>
    <xf numFmtId="4" fontId="3" fillId="2" borderId="24" xfId="0" applyNumberFormat="1" applyFont="1" applyFill="1" applyBorder="1" applyAlignment="1">
      <alignment vertical="center"/>
    </xf>
    <xf numFmtId="4" fontId="4" fillId="2" borderId="25" xfId="0" applyNumberFormat="1" applyFont="1" applyFill="1" applyBorder="1" applyAlignment="1">
      <alignment vertical="center"/>
    </xf>
    <xf numFmtId="4" fontId="4" fillId="3" borderId="25" xfId="0" applyNumberFormat="1" applyFont="1" applyFill="1" applyBorder="1" applyAlignment="1">
      <alignment vertical="center" wrapText="1"/>
    </xf>
    <xf numFmtId="4" fontId="4" fillId="0" borderId="25" xfId="0" applyNumberFormat="1" applyFont="1" applyBorder="1"/>
    <xf numFmtId="3" fontId="4" fillId="0" borderId="26" xfId="0" applyNumberFormat="1" applyFont="1" applyBorder="1" applyAlignment="1">
      <alignment horizontal="right"/>
    </xf>
    <xf numFmtId="3" fontId="17" fillId="0" borderId="26" xfId="0" applyNumberFormat="1" applyFont="1" applyBorder="1" applyAlignment="1">
      <alignment horizontal="right"/>
    </xf>
    <xf numFmtId="4" fontId="26" fillId="4" borderId="25" xfId="0" applyNumberFormat="1" applyFont="1" applyFill="1" applyBorder="1" applyAlignment="1">
      <alignment wrapText="1"/>
    </xf>
  </cellXfs>
  <cellStyles count="4">
    <cellStyle name="Čárka" xfId="1" builtinId="3"/>
    <cellStyle name="Čárky bez des. míst" xfId="3" builtinId="6"/>
    <cellStyle name="Normální" xfId="0" builtinId="0"/>
    <cellStyle name="Vysvětlující text" xfId="2" builtinId="53" customBuiltin="1"/>
  </cellStyles>
  <dxfs count="0"/>
  <tableStyles count="0" defaultTableStyle="TableStyleMedium9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tabSelected="1" zoomScaleNormal="100" workbookViewId="0">
      <selection activeCell="K109" sqref="K109:K110"/>
    </sheetView>
  </sheetViews>
  <sheetFormatPr defaultColWidth="9.140625" defaultRowHeight="12.75" x14ac:dyDescent="0.2"/>
  <cols>
    <col min="1" max="1" width="8.140625" style="3" customWidth="1"/>
    <col min="2" max="2" width="5.28515625" style="3"/>
    <col min="3" max="3" width="71.85546875" style="3" customWidth="1"/>
    <col min="4" max="4" width="0" style="22" hidden="1"/>
    <col min="5" max="5" width="0" style="23" hidden="1"/>
    <col min="6" max="6" width="5.7109375" style="21"/>
    <col min="7" max="7" width="8.5703125" style="21"/>
    <col min="8" max="8" width="12.7109375" style="146"/>
    <col min="9" max="9" width="4.42578125" style="21" customWidth="1"/>
    <col min="10" max="10" width="14.140625" style="75" customWidth="1"/>
    <col min="11" max="11" width="23.42578125" style="75" customWidth="1"/>
    <col min="12" max="12" width="10.5703125" style="3"/>
    <col min="13" max="1026" width="8.5703125" style="3"/>
    <col min="1027" max="16384" width="9.140625" style="3"/>
  </cols>
  <sheetData>
    <row r="1" spans="1:11" s="99" customFormat="1" ht="55.5" customHeight="1" x14ac:dyDescent="0.2">
      <c r="A1" s="155" t="s">
        <v>0</v>
      </c>
      <c r="B1" s="1"/>
      <c r="C1" s="158" t="s">
        <v>79</v>
      </c>
      <c r="D1" s="1"/>
      <c r="E1" s="1"/>
      <c r="F1" s="1"/>
      <c r="G1" s="1"/>
      <c r="H1" s="141"/>
      <c r="I1" s="1"/>
      <c r="J1" s="175" t="s">
        <v>39</v>
      </c>
      <c r="K1" s="201"/>
    </row>
    <row r="2" spans="1:11" ht="18" customHeight="1" x14ac:dyDescent="0.2">
      <c r="A2" s="155" t="s">
        <v>1</v>
      </c>
      <c r="B2" s="2"/>
      <c r="C2" s="2" t="s">
        <v>66</v>
      </c>
      <c r="D2" s="2"/>
      <c r="E2" s="2"/>
      <c r="F2" s="2"/>
      <c r="G2" s="2"/>
      <c r="H2" s="142"/>
      <c r="I2" s="2"/>
      <c r="J2" s="176"/>
      <c r="K2" s="202"/>
    </row>
    <row r="3" spans="1:11" s="8" customFormat="1" ht="31.5" customHeight="1" x14ac:dyDescent="0.2">
      <c r="A3" s="156" t="s">
        <v>67</v>
      </c>
      <c r="B3" s="4"/>
      <c r="C3" s="4" t="s">
        <v>80</v>
      </c>
      <c r="D3" s="5"/>
      <c r="E3" s="6"/>
      <c r="F3" s="7"/>
      <c r="G3" s="7"/>
      <c r="H3" s="143"/>
      <c r="I3" s="7"/>
      <c r="J3" s="177"/>
      <c r="K3" s="203"/>
    </row>
    <row r="4" spans="1:11" s="15" customFormat="1" ht="30" x14ac:dyDescent="0.25">
      <c r="A4" s="9" t="s">
        <v>2</v>
      </c>
      <c r="B4" s="10"/>
      <c r="C4" s="11"/>
      <c r="D4" s="12"/>
      <c r="E4" s="13"/>
      <c r="F4" s="14"/>
      <c r="G4" s="14"/>
      <c r="H4" s="144"/>
      <c r="I4" s="14"/>
      <c r="J4" s="178"/>
      <c r="K4" s="207" t="s">
        <v>184</v>
      </c>
    </row>
    <row r="5" spans="1:11" x14ac:dyDescent="0.2">
      <c r="A5" s="19"/>
      <c r="B5" s="15"/>
      <c r="J5" s="174"/>
      <c r="K5" s="204"/>
    </row>
    <row r="6" spans="1:11" s="106" customFormat="1" ht="15.75" x14ac:dyDescent="0.25">
      <c r="A6" s="107" t="s">
        <v>3</v>
      </c>
      <c r="B6" s="108" t="s">
        <v>4</v>
      </c>
      <c r="C6" s="108"/>
      <c r="D6" s="109"/>
      <c r="E6" s="110"/>
      <c r="F6" s="110"/>
      <c r="G6" s="110"/>
      <c r="H6" s="145"/>
      <c r="I6" s="110" t="s">
        <v>5</v>
      </c>
      <c r="J6" s="179">
        <f>SUM(J7:J9)</f>
        <v>0</v>
      </c>
      <c r="K6" s="206"/>
    </row>
    <row r="7" spans="1:11" x14ac:dyDescent="0.2">
      <c r="A7" s="19"/>
      <c r="D7" s="20"/>
      <c r="E7" s="21"/>
      <c r="J7" s="180"/>
      <c r="K7" s="205"/>
    </row>
    <row r="8" spans="1:11" x14ac:dyDescent="0.2">
      <c r="A8" s="19"/>
      <c r="J8" s="180"/>
      <c r="K8" s="206"/>
    </row>
    <row r="9" spans="1:11" x14ac:dyDescent="0.2">
      <c r="A9" s="19"/>
      <c r="J9" s="180"/>
      <c r="K9" s="206"/>
    </row>
    <row r="10" spans="1:11" s="106" customFormat="1" ht="15.75" x14ac:dyDescent="0.25">
      <c r="A10" s="107" t="s">
        <v>6</v>
      </c>
      <c r="B10" s="108" t="s">
        <v>7</v>
      </c>
      <c r="C10" s="108"/>
      <c r="D10" s="109"/>
      <c r="E10" s="110"/>
      <c r="F10" s="110"/>
      <c r="G10" s="110"/>
      <c r="H10" s="145"/>
      <c r="I10" s="110" t="s">
        <v>5</v>
      </c>
      <c r="J10" s="179">
        <f>SUM(J11)</f>
        <v>0</v>
      </c>
      <c r="K10" s="205"/>
    </row>
    <row r="11" spans="1:11" s="82" customFormat="1" x14ac:dyDescent="0.2">
      <c r="A11" s="78"/>
      <c r="B11" s="79"/>
      <c r="C11" s="79"/>
      <c r="D11" s="80"/>
      <c r="E11" s="81"/>
      <c r="F11" s="81"/>
      <c r="G11" s="81"/>
      <c r="H11" s="147"/>
      <c r="I11" s="81"/>
      <c r="J11" s="181"/>
      <c r="K11" s="206"/>
    </row>
    <row r="12" spans="1:11" s="104" customFormat="1" x14ac:dyDescent="0.2">
      <c r="A12" s="100"/>
      <c r="B12" s="105"/>
      <c r="C12" s="101"/>
      <c r="D12" s="102"/>
      <c r="E12" s="103"/>
      <c r="F12" s="103"/>
      <c r="G12" s="103"/>
      <c r="H12" s="148"/>
      <c r="I12" s="103"/>
      <c r="J12" s="182"/>
      <c r="K12" s="206"/>
    </row>
    <row r="13" spans="1:11" s="82" customFormat="1" x14ac:dyDescent="0.2">
      <c r="A13" s="78"/>
      <c r="B13" s="105"/>
      <c r="C13" s="79"/>
      <c r="D13" s="80"/>
      <c r="E13" s="81"/>
      <c r="F13" s="81"/>
      <c r="G13" s="81"/>
      <c r="H13" s="147"/>
      <c r="I13" s="81"/>
      <c r="J13" s="183"/>
      <c r="K13" s="205"/>
    </row>
    <row r="14" spans="1:11" s="82" customFormat="1" x14ac:dyDescent="0.2">
      <c r="A14" s="78"/>
      <c r="B14" s="105"/>
      <c r="C14" s="79"/>
      <c r="D14" s="80"/>
      <c r="E14" s="81"/>
      <c r="F14" s="81"/>
      <c r="G14" s="81"/>
      <c r="H14" s="147"/>
      <c r="I14" s="81"/>
      <c r="J14" s="183"/>
      <c r="K14" s="206"/>
    </row>
    <row r="15" spans="1:11" x14ac:dyDescent="0.2">
      <c r="A15" s="19"/>
      <c r="D15" s="20"/>
      <c r="E15" s="21"/>
      <c r="G15" s="83"/>
      <c r="J15" s="184"/>
      <c r="K15" s="206"/>
    </row>
    <row r="16" spans="1:11" s="106" customFormat="1" ht="15.75" x14ac:dyDescent="0.25">
      <c r="A16" s="107" t="s">
        <v>8</v>
      </c>
      <c r="B16" s="108" t="s">
        <v>9</v>
      </c>
      <c r="C16" s="111"/>
      <c r="D16" s="112" t="s">
        <v>10</v>
      </c>
      <c r="E16" s="113" t="s">
        <v>11</v>
      </c>
      <c r="F16" s="114"/>
      <c r="G16" s="115"/>
      <c r="H16" s="149"/>
      <c r="I16" s="114" t="s">
        <v>5</v>
      </c>
      <c r="J16" s="185">
        <f>SUM(J21+J156)</f>
        <v>0</v>
      </c>
      <c r="K16" s="205"/>
    </row>
    <row r="17" spans="1:11" s="29" customFormat="1" x14ac:dyDescent="0.2">
      <c r="A17" s="24"/>
      <c r="B17" s="25"/>
      <c r="C17" s="25"/>
      <c r="D17" s="26"/>
      <c r="E17" s="27"/>
      <c r="F17" s="28"/>
      <c r="G17" s="28"/>
      <c r="H17" s="47"/>
      <c r="I17" s="28"/>
      <c r="J17" s="186"/>
      <c r="K17" s="206"/>
    </row>
    <row r="18" spans="1:11" x14ac:dyDescent="0.2">
      <c r="A18" s="30"/>
      <c r="B18" s="31" t="s">
        <v>41</v>
      </c>
      <c r="C18" s="32"/>
      <c r="D18" s="33"/>
      <c r="E18" s="34"/>
      <c r="F18" s="35"/>
      <c r="G18" s="36"/>
      <c r="H18" s="150"/>
      <c r="I18" s="35"/>
      <c r="J18" s="187"/>
      <c r="K18" s="206"/>
    </row>
    <row r="19" spans="1:11" ht="25.5" x14ac:dyDescent="0.2">
      <c r="A19" s="24" t="s">
        <v>12</v>
      </c>
      <c r="B19" s="37"/>
      <c r="C19" s="38"/>
      <c r="D19" s="39"/>
      <c r="E19" s="40"/>
      <c r="F19" s="28" t="s">
        <v>13</v>
      </c>
      <c r="G19" s="41" t="s">
        <v>14</v>
      </c>
      <c r="H19" s="47" t="s">
        <v>15</v>
      </c>
      <c r="I19" s="28"/>
      <c r="J19" s="186"/>
      <c r="K19" s="205"/>
    </row>
    <row r="20" spans="1:11" x14ac:dyDescent="0.2">
      <c r="A20" s="42"/>
      <c r="B20" s="37"/>
      <c r="C20" s="43"/>
      <c r="D20" s="39"/>
      <c r="E20" s="40"/>
      <c r="F20" s="44"/>
      <c r="G20" s="45"/>
      <c r="H20" s="46"/>
      <c r="I20" s="44"/>
      <c r="J20" s="188"/>
      <c r="K20" s="206"/>
    </row>
    <row r="21" spans="1:11" s="99" customFormat="1" ht="15.75" x14ac:dyDescent="0.25">
      <c r="A21" s="116" t="s">
        <v>16</v>
      </c>
      <c r="B21" s="117" t="s">
        <v>177</v>
      </c>
      <c r="C21" s="118"/>
      <c r="D21" s="119"/>
      <c r="E21" s="120"/>
      <c r="F21" s="121"/>
      <c r="G21" s="122"/>
      <c r="H21" s="122"/>
      <c r="I21" s="121"/>
      <c r="J21" s="189">
        <f>J22+J111</f>
        <v>0</v>
      </c>
      <c r="K21" s="206"/>
    </row>
    <row r="22" spans="1:11" s="91" customFormat="1" x14ac:dyDescent="0.2">
      <c r="A22" s="85"/>
      <c r="B22" s="84" t="s">
        <v>46</v>
      </c>
      <c r="C22" s="86"/>
      <c r="D22" s="87"/>
      <c r="E22" s="88"/>
      <c r="F22" s="89"/>
      <c r="G22" s="90"/>
      <c r="H22" s="90"/>
      <c r="I22" s="89"/>
      <c r="J22" s="190">
        <f>SUM(J24:J110)</f>
        <v>0</v>
      </c>
      <c r="K22" s="205" t="s">
        <v>185</v>
      </c>
    </row>
    <row r="23" spans="1:11" s="91" customFormat="1" x14ac:dyDescent="0.2">
      <c r="A23" s="85"/>
      <c r="B23" s="84" t="s">
        <v>47</v>
      </c>
      <c r="C23" s="86"/>
      <c r="D23" s="87"/>
      <c r="E23" s="88"/>
      <c r="F23" s="89"/>
      <c r="G23" s="90"/>
      <c r="H23" s="90"/>
      <c r="I23" s="89"/>
      <c r="J23" s="190"/>
      <c r="K23" s="205" t="s">
        <v>185</v>
      </c>
    </row>
    <row r="24" spans="1:11" x14ac:dyDescent="0.2">
      <c r="A24" s="42"/>
      <c r="B24" s="37" t="s">
        <v>95</v>
      </c>
      <c r="C24" s="37"/>
      <c r="D24" s="39"/>
      <c r="E24" s="40"/>
      <c r="F24" s="44" t="s">
        <v>17</v>
      </c>
      <c r="G24" s="46">
        <f>(1.86+5+32.26+3+11.92+10.94+0.72+2.5+7+1.25+3.5*2+3+9.4+1.22+14.25+5.12+1.86)*0.9*0.75*1.5+9.2*0.6*0.9+9.2*0.5*1.7</f>
        <v>132.56675000000001</v>
      </c>
      <c r="H24" s="46"/>
      <c r="I24" s="44"/>
      <c r="J24" s="186">
        <f t="shared" ref="J24:J40" si="0">G24*H24</f>
        <v>0</v>
      </c>
      <c r="K24" s="205" t="s">
        <v>185</v>
      </c>
    </row>
    <row r="25" spans="1:11" x14ac:dyDescent="0.2">
      <c r="A25" s="42"/>
      <c r="B25" s="37" t="s">
        <v>68</v>
      </c>
      <c r="C25" s="37"/>
      <c r="D25" s="39"/>
      <c r="E25" s="40"/>
      <c r="F25" s="44" t="s">
        <v>17</v>
      </c>
      <c r="G25" s="46">
        <f>G24</f>
        <v>132.56675000000001</v>
      </c>
      <c r="H25" s="46"/>
      <c r="I25" s="44"/>
      <c r="J25" s="186">
        <f t="shared" si="0"/>
        <v>0</v>
      </c>
      <c r="K25" s="205" t="s">
        <v>185</v>
      </c>
    </row>
    <row r="26" spans="1:11" x14ac:dyDescent="0.2">
      <c r="A26" s="42"/>
      <c r="B26" s="37" t="s">
        <v>149</v>
      </c>
      <c r="C26" s="37"/>
      <c r="D26" s="39"/>
      <c r="E26" s="40"/>
      <c r="F26" s="44" t="s">
        <v>17</v>
      </c>
      <c r="G26" s="46">
        <f>G24*2</f>
        <v>265.13350000000003</v>
      </c>
      <c r="H26" s="46"/>
      <c r="I26" s="44"/>
      <c r="J26" s="186">
        <f t="shared" ref="J26" si="1">G26*H26</f>
        <v>0</v>
      </c>
      <c r="K26" s="205" t="s">
        <v>185</v>
      </c>
    </row>
    <row r="27" spans="1:11" x14ac:dyDescent="0.2">
      <c r="A27" s="42"/>
      <c r="B27" s="84" t="s">
        <v>48</v>
      </c>
      <c r="C27" s="37"/>
      <c r="D27" s="39"/>
      <c r="E27" s="40"/>
      <c r="F27" s="44"/>
      <c r="G27" s="46"/>
      <c r="H27" s="160"/>
      <c r="I27" s="44"/>
      <c r="J27" s="186"/>
      <c r="K27" s="205" t="s">
        <v>185</v>
      </c>
    </row>
    <row r="28" spans="1:11" x14ac:dyDescent="0.2">
      <c r="A28" s="42"/>
      <c r="B28" s="37" t="s">
        <v>142</v>
      </c>
      <c r="C28" s="37"/>
      <c r="D28" s="39"/>
      <c r="E28" s="40"/>
      <c r="F28" s="44" t="s">
        <v>20</v>
      </c>
      <c r="G28" s="46">
        <f>(1.86+5+32.26+3+11.92+10.94+0.72+2.5+7+1.25+3.5*2+3+9.4+1.22+14.25+5.12+1.86)*2</f>
        <v>236.60000000000002</v>
      </c>
      <c r="H28" s="46"/>
      <c r="I28" s="44"/>
      <c r="J28" s="186">
        <f t="shared" ref="J28" si="2">G28*H28</f>
        <v>0</v>
      </c>
      <c r="K28" s="205" t="s">
        <v>185</v>
      </c>
    </row>
    <row r="29" spans="1:11" x14ac:dyDescent="0.2">
      <c r="A29" s="42"/>
      <c r="B29" s="84" t="s">
        <v>49</v>
      </c>
      <c r="C29" s="37"/>
      <c r="D29" s="39"/>
      <c r="E29" s="40"/>
      <c r="F29" s="44"/>
      <c r="G29" s="46"/>
      <c r="H29" s="160"/>
      <c r="I29" s="44"/>
      <c r="J29" s="186"/>
      <c r="K29" s="205" t="s">
        <v>185</v>
      </c>
    </row>
    <row r="30" spans="1:11" x14ac:dyDescent="0.2">
      <c r="A30" s="42"/>
      <c r="B30" s="37" t="s">
        <v>111</v>
      </c>
      <c r="C30" s="37"/>
      <c r="D30" s="39"/>
      <c r="E30" s="40"/>
      <c r="F30" s="44" t="s">
        <v>18</v>
      </c>
      <c r="G30" s="46">
        <f>6*3.225-1*2.1+1*1+(3.9+2.15)*3.27-1*2.1*2+3*3.07-1*2.1+6*3-1*2.1</f>
        <v>56.843499999999999</v>
      </c>
      <c r="H30" s="46"/>
      <c r="I30" s="44"/>
      <c r="J30" s="186">
        <f t="shared" si="0"/>
        <v>0</v>
      </c>
      <c r="K30" s="205" t="s">
        <v>185</v>
      </c>
    </row>
    <row r="31" spans="1:11" x14ac:dyDescent="0.2">
      <c r="A31" s="42"/>
      <c r="B31" s="37" t="s">
        <v>112</v>
      </c>
      <c r="C31" s="37"/>
      <c r="D31" s="39"/>
      <c r="E31" s="40"/>
      <c r="F31" s="44" t="s">
        <v>18</v>
      </c>
      <c r="G31" s="46">
        <f>1*2.1*0.65</f>
        <v>1.3650000000000002</v>
      </c>
      <c r="H31" s="46"/>
      <c r="I31" s="44"/>
      <c r="J31" s="186">
        <f t="shared" ref="J31" si="3">G31*H31</f>
        <v>0</v>
      </c>
      <c r="K31" s="205" t="s">
        <v>185</v>
      </c>
    </row>
    <row r="32" spans="1:11" x14ac:dyDescent="0.2">
      <c r="A32" s="42"/>
      <c r="B32" s="37" t="s">
        <v>113</v>
      </c>
      <c r="C32" s="37"/>
      <c r="D32" s="39"/>
      <c r="E32" s="40"/>
      <c r="F32" s="44" t="s">
        <v>20</v>
      </c>
      <c r="G32" s="46">
        <f>3*1.4+2.3</f>
        <v>6.4999999999999991</v>
      </c>
      <c r="H32" s="46"/>
      <c r="I32" s="44"/>
      <c r="J32" s="186">
        <f t="shared" ref="J32" si="4">G32*H32</f>
        <v>0</v>
      </c>
      <c r="K32" s="205" t="s">
        <v>185</v>
      </c>
    </row>
    <row r="33" spans="1:16" x14ac:dyDescent="0.2">
      <c r="A33" s="42"/>
      <c r="B33" s="84" t="s">
        <v>124</v>
      </c>
      <c r="C33" s="37"/>
      <c r="D33" s="123"/>
      <c r="E33" s="124"/>
      <c r="F33" s="44"/>
      <c r="G33" s="46"/>
      <c r="H33" s="160"/>
      <c r="I33" s="44"/>
      <c r="J33" s="186"/>
      <c r="K33" s="205" t="s">
        <v>185</v>
      </c>
    </row>
    <row r="34" spans="1:16" x14ac:dyDescent="0.2">
      <c r="A34" s="42"/>
      <c r="B34" s="37" t="s">
        <v>136</v>
      </c>
      <c r="C34" s="37"/>
      <c r="D34" s="123"/>
      <c r="E34" s="124"/>
      <c r="F34" s="44" t="s">
        <v>18</v>
      </c>
      <c r="G34" s="46">
        <f>G99</f>
        <v>30.624999999999996</v>
      </c>
      <c r="H34" s="46"/>
      <c r="I34" s="44"/>
      <c r="J34" s="186">
        <f t="shared" ref="J34:J35" si="5">G34*H34</f>
        <v>0</v>
      </c>
      <c r="K34" s="205" t="s">
        <v>185</v>
      </c>
    </row>
    <row r="35" spans="1:16" x14ac:dyDescent="0.2">
      <c r="A35" s="42"/>
      <c r="B35" s="37" t="s">
        <v>137</v>
      </c>
      <c r="C35" s="37"/>
      <c r="D35" s="123"/>
      <c r="E35" s="124"/>
      <c r="F35" s="44" t="s">
        <v>18</v>
      </c>
      <c r="G35" s="46">
        <f>G100</f>
        <v>97.5</v>
      </c>
      <c r="H35" s="46"/>
      <c r="I35" s="44"/>
      <c r="J35" s="186">
        <f t="shared" si="5"/>
        <v>0</v>
      </c>
      <c r="K35" s="205" t="s">
        <v>185</v>
      </c>
    </row>
    <row r="36" spans="1:16" x14ac:dyDescent="0.2">
      <c r="A36" s="42"/>
      <c r="B36" s="84" t="s">
        <v>50</v>
      </c>
      <c r="C36" s="37"/>
      <c r="D36" s="39"/>
      <c r="E36" s="40"/>
      <c r="F36" s="44"/>
      <c r="G36" s="46"/>
      <c r="H36" s="160"/>
      <c r="I36" s="44"/>
      <c r="J36" s="186"/>
      <c r="K36" s="205" t="s">
        <v>185</v>
      </c>
    </row>
    <row r="37" spans="1:16" x14ac:dyDescent="0.2">
      <c r="A37" s="42"/>
      <c r="B37" s="37" t="s">
        <v>114</v>
      </c>
      <c r="C37" s="37"/>
      <c r="D37" s="39"/>
      <c r="E37" s="40"/>
      <c r="F37" s="44" t="s">
        <v>18</v>
      </c>
      <c r="G37" s="46">
        <f>(10.44+6)*1.5*2+(2.57+0.35+6)*1.5*2+(8.73+4.46)*1.5*2+(13.3+6+4.7)*1.5*2+(10.35+3.9)*1.5*2+(2.15+1.05)*1.5+(4.77+4.89+0.4+0.42+2.15+1.8)*1.5*2+(3.34+2.96)*1.5*2+(4.91+2.96)*1.5*2+(6+4.71)*1.5*2+(6+8.62)*1.5*2+(6.53+3.78)*1.5*2-1*1.5*15-1.9*1.5*2+List1!C8-List1!B8</f>
        <v>398.57000000000005</v>
      </c>
      <c r="H37" s="46"/>
      <c r="I37" s="44"/>
      <c r="J37" s="186">
        <f t="shared" si="0"/>
        <v>0</v>
      </c>
      <c r="K37" s="205" t="s">
        <v>185</v>
      </c>
    </row>
    <row r="38" spans="1:16" x14ac:dyDescent="0.2">
      <c r="A38" s="42"/>
      <c r="B38" s="37" t="s">
        <v>117</v>
      </c>
      <c r="C38" s="37"/>
      <c r="D38" s="39"/>
      <c r="E38" s="40"/>
      <c r="F38" s="44" t="s">
        <v>18</v>
      </c>
      <c r="G38" s="46">
        <f>(10.44+6)*(3.23-1.5)*2+(2.57+0.35+6)*(3.23-1.5)*2+(8.73+4.46)*(3.23-1.5)*2+(13.3+6+4.7)*(3.23-1.5)*2+(10.35+3.9)*(3.27-1.5)*2+(2.15+1.05)*(3.27-1.5)+(4.77+4.89+0.4+0.42+2.15+1.8)*(3.23-1.5)*2+(3.34+2.96)*(3.07-1.5)*2+(4.91+2.96)*(3.07-1.5)*2+(6+4.71)*(2.99-1.5)*2+(6+8.62)*(2.99-1.5)*2+(6.53+3.78)*(3.01-1.5)*2-1*(2.1-1.5)*15-1.9*(2.1-1.5)*2-List1!B9+List1!C9</f>
        <v>476.01319999999993</v>
      </c>
      <c r="H38" s="46"/>
      <c r="I38" s="44"/>
      <c r="J38" s="186">
        <f t="shared" ref="J38" si="6">G38*H38</f>
        <v>0</v>
      </c>
      <c r="K38" s="205" t="s">
        <v>185</v>
      </c>
    </row>
    <row r="39" spans="1:16" x14ac:dyDescent="0.2">
      <c r="A39" s="42"/>
      <c r="B39" s="37" t="s">
        <v>116</v>
      </c>
      <c r="C39" s="37"/>
      <c r="D39" s="39"/>
      <c r="E39" s="40"/>
      <c r="F39" s="44" t="s">
        <v>18</v>
      </c>
      <c r="G39" s="46">
        <f>G85</f>
        <v>17.05</v>
      </c>
      <c r="H39" s="46"/>
      <c r="I39" s="44"/>
      <c r="J39" s="186">
        <f t="shared" si="0"/>
        <v>0</v>
      </c>
      <c r="K39" s="205" t="s">
        <v>185</v>
      </c>
      <c r="P39" s="125"/>
    </row>
    <row r="40" spans="1:16" x14ac:dyDescent="0.2">
      <c r="A40" s="42"/>
      <c r="B40" s="37" t="s">
        <v>118</v>
      </c>
      <c r="C40" s="37"/>
      <c r="D40" s="39"/>
      <c r="E40" s="40"/>
      <c r="F40" s="44" t="s">
        <v>18</v>
      </c>
      <c r="G40" s="46">
        <f>G38+G37</f>
        <v>874.58320000000003</v>
      </c>
      <c r="H40" s="46"/>
      <c r="I40" s="44"/>
      <c r="J40" s="186">
        <f t="shared" si="0"/>
        <v>0</v>
      </c>
      <c r="K40" s="205" t="s">
        <v>185</v>
      </c>
    </row>
    <row r="41" spans="1:16" x14ac:dyDescent="0.2">
      <c r="A41" s="42"/>
      <c r="B41" s="84" t="s">
        <v>51</v>
      </c>
      <c r="C41" s="37"/>
      <c r="D41" s="39"/>
      <c r="E41" s="40"/>
      <c r="F41" s="44"/>
      <c r="G41" s="46"/>
      <c r="H41" s="160"/>
      <c r="I41" s="44"/>
      <c r="J41" s="186"/>
      <c r="K41" s="205" t="s">
        <v>185</v>
      </c>
    </row>
    <row r="42" spans="1:16" x14ac:dyDescent="0.2">
      <c r="A42" s="42"/>
      <c r="B42" s="37" t="s">
        <v>140</v>
      </c>
      <c r="C42" s="37"/>
      <c r="D42" s="39"/>
      <c r="E42" s="40"/>
      <c r="F42" s="44" t="s">
        <v>18</v>
      </c>
      <c r="G42" s="46">
        <f>(1.86+5+32.26+3+11.92+10.94+0.72+2.5+7+1.25+3.5*2+3+9.4+1.22+14.25+5.12+1.86)*0.3</f>
        <v>35.49</v>
      </c>
      <c r="H42" s="46"/>
      <c r="I42" s="44"/>
      <c r="J42" s="186">
        <f t="shared" ref="J42:J43" si="7">G42*H42</f>
        <v>0</v>
      </c>
      <c r="K42" s="205" t="s">
        <v>185</v>
      </c>
    </row>
    <row r="43" spans="1:16" x14ac:dyDescent="0.2">
      <c r="A43" s="42"/>
      <c r="B43" s="37" t="s">
        <v>141</v>
      </c>
      <c r="C43" s="37"/>
      <c r="D43" s="39"/>
      <c r="E43" s="40"/>
      <c r="F43" s="44" t="s">
        <v>18</v>
      </c>
      <c r="G43" s="46">
        <f>(1.86+5+32.26+3+11.92+10.94+0.72+2.5+7+1.25+3.5*2+3+9.4+1.22+14.25+5.12+1.86)*0.3</f>
        <v>35.49</v>
      </c>
      <c r="H43" s="46"/>
      <c r="I43" s="44"/>
      <c r="J43" s="186">
        <f t="shared" si="7"/>
        <v>0</v>
      </c>
      <c r="K43" s="205" t="s">
        <v>185</v>
      </c>
      <c r="P43" s="125"/>
    </row>
    <row r="44" spans="1:16" x14ac:dyDescent="0.2">
      <c r="A44" s="42"/>
      <c r="B44" s="84" t="s">
        <v>52</v>
      </c>
      <c r="C44" s="37"/>
      <c r="D44" s="123"/>
      <c r="E44" s="124"/>
      <c r="F44" s="44"/>
      <c r="G44" s="46"/>
      <c r="H44" s="160"/>
      <c r="I44" s="44"/>
      <c r="J44" s="186"/>
      <c r="K44" s="205" t="s">
        <v>185</v>
      </c>
      <c r="P44" s="125"/>
    </row>
    <row r="45" spans="1:16" x14ac:dyDescent="0.2">
      <c r="A45" s="42"/>
      <c r="B45" s="37" t="s">
        <v>143</v>
      </c>
      <c r="C45" s="37"/>
      <c r="D45" s="39"/>
      <c r="E45" s="40"/>
      <c r="F45" s="44" t="s">
        <v>18</v>
      </c>
      <c r="G45" s="46">
        <f>(1.86+5+32.26+3+11.92+10.94+0.72+2.5+7+1.25+3.5*2+3+9.4+1.22+14.25+5.12+1.86)*1.2</f>
        <v>141.96</v>
      </c>
      <c r="H45" s="46"/>
      <c r="I45" s="44"/>
      <c r="J45" s="186">
        <f t="shared" ref="J45" si="8">G45*H45</f>
        <v>0</v>
      </c>
      <c r="K45" s="205" t="s">
        <v>185</v>
      </c>
    </row>
    <row r="46" spans="1:16" x14ac:dyDescent="0.2">
      <c r="A46" s="42"/>
      <c r="B46" s="37" t="s">
        <v>144</v>
      </c>
      <c r="C46" s="159"/>
      <c r="D46" s="39"/>
      <c r="E46" s="40"/>
      <c r="F46" s="44" t="s">
        <v>18</v>
      </c>
      <c r="G46" s="46">
        <f>G74</f>
        <v>4.4000000000000004</v>
      </c>
      <c r="H46" s="46"/>
      <c r="I46" s="44"/>
      <c r="J46" s="186">
        <f t="shared" ref="J46" si="9">G46*H46</f>
        <v>0</v>
      </c>
      <c r="K46" s="205" t="s">
        <v>185</v>
      </c>
    </row>
    <row r="47" spans="1:16" x14ac:dyDescent="0.2">
      <c r="A47" s="42"/>
      <c r="B47" s="37" t="s">
        <v>74</v>
      </c>
      <c r="C47" s="37"/>
      <c r="D47" s="123"/>
      <c r="E47" s="124"/>
      <c r="F47" s="44" t="s">
        <v>19</v>
      </c>
      <c r="G47" s="46">
        <v>1</v>
      </c>
      <c r="H47" s="46"/>
      <c r="I47" s="44"/>
      <c r="J47" s="186">
        <f t="shared" ref="J47" si="10">G47*H47</f>
        <v>0</v>
      </c>
      <c r="K47" s="205" t="s">
        <v>185</v>
      </c>
      <c r="L47" s="125"/>
      <c r="P47" s="125"/>
    </row>
    <row r="48" spans="1:16" x14ac:dyDescent="0.2">
      <c r="A48" s="42"/>
      <c r="B48" s="84" t="s">
        <v>53</v>
      </c>
      <c r="C48" s="37"/>
      <c r="D48" s="123"/>
      <c r="E48" s="124"/>
      <c r="F48" s="44"/>
      <c r="G48" s="46"/>
      <c r="H48" s="160"/>
      <c r="I48" s="44"/>
      <c r="J48" s="186"/>
      <c r="K48" s="205" t="s">
        <v>185</v>
      </c>
      <c r="L48" s="125"/>
      <c r="P48" s="125"/>
    </row>
    <row r="49" spans="1:16" x14ac:dyDescent="0.2">
      <c r="A49" s="42"/>
      <c r="B49" s="37" t="s">
        <v>101</v>
      </c>
      <c r="C49" s="37"/>
      <c r="D49" s="39"/>
      <c r="E49" s="40"/>
      <c r="F49" s="44" t="s">
        <v>22</v>
      </c>
      <c r="G49" s="46">
        <v>26</v>
      </c>
      <c r="H49" s="46"/>
      <c r="I49" s="44"/>
      <c r="J49" s="186">
        <f t="shared" ref="J49:J50" si="11">G49*H49</f>
        <v>0</v>
      </c>
      <c r="K49" s="205" t="s">
        <v>185</v>
      </c>
    </row>
    <row r="50" spans="1:16" x14ac:dyDescent="0.2">
      <c r="A50" s="42"/>
      <c r="B50" s="37" t="s">
        <v>102</v>
      </c>
      <c r="C50" s="37"/>
      <c r="D50" s="39"/>
      <c r="E50" s="40"/>
      <c r="F50" s="44" t="s">
        <v>22</v>
      </c>
      <c r="G50" s="46">
        <v>1</v>
      </c>
      <c r="H50" s="46"/>
      <c r="I50" s="44"/>
      <c r="J50" s="186">
        <f t="shared" si="11"/>
        <v>0</v>
      </c>
      <c r="K50" s="205" t="s">
        <v>185</v>
      </c>
    </row>
    <row r="51" spans="1:16" x14ac:dyDescent="0.2">
      <c r="A51" s="42"/>
      <c r="B51" s="37" t="s">
        <v>103</v>
      </c>
      <c r="C51" s="37"/>
      <c r="D51" s="39"/>
      <c r="E51" s="40"/>
      <c r="F51" s="44" t="s">
        <v>22</v>
      </c>
      <c r="G51" s="46">
        <v>26</v>
      </c>
      <c r="H51" s="46"/>
      <c r="I51" s="44"/>
      <c r="J51" s="186">
        <f t="shared" ref="J51" si="12">G51*H51</f>
        <v>0</v>
      </c>
      <c r="K51" s="205" t="s">
        <v>185</v>
      </c>
    </row>
    <row r="52" spans="1:16" x14ac:dyDescent="0.2">
      <c r="A52" s="42"/>
      <c r="B52" s="37" t="s">
        <v>104</v>
      </c>
      <c r="C52" s="37"/>
      <c r="D52" s="39"/>
      <c r="E52" s="40"/>
      <c r="F52" s="44" t="s">
        <v>22</v>
      </c>
      <c r="G52" s="46">
        <v>2</v>
      </c>
      <c r="H52" s="46"/>
      <c r="I52" s="44"/>
      <c r="J52" s="186">
        <f t="shared" ref="J52" si="13">G52*H52</f>
        <v>0</v>
      </c>
      <c r="K52" s="205" t="s">
        <v>185</v>
      </c>
    </row>
    <row r="53" spans="1:16" x14ac:dyDescent="0.2">
      <c r="A53" s="42"/>
      <c r="B53" s="37" t="s">
        <v>70</v>
      </c>
      <c r="C53" s="37"/>
      <c r="D53" s="123"/>
      <c r="E53" s="124"/>
      <c r="F53" s="44" t="s">
        <v>19</v>
      </c>
      <c r="G53" s="46">
        <v>1</v>
      </c>
      <c r="H53" s="46"/>
      <c r="I53" s="44"/>
      <c r="J53" s="186">
        <f t="shared" ref="J53" si="14">G53*H53</f>
        <v>0</v>
      </c>
      <c r="K53" s="205" t="s">
        <v>185</v>
      </c>
      <c r="L53" s="125"/>
      <c r="P53" s="125"/>
    </row>
    <row r="54" spans="1:16" x14ac:dyDescent="0.2">
      <c r="A54" s="42"/>
      <c r="B54" s="84" t="s">
        <v>54</v>
      </c>
      <c r="C54" s="37"/>
      <c r="D54" s="123"/>
      <c r="E54" s="124"/>
      <c r="F54" s="44"/>
      <c r="G54" s="46"/>
      <c r="H54" s="160"/>
      <c r="I54" s="44"/>
      <c r="J54" s="186"/>
      <c r="K54" s="205" t="s">
        <v>185</v>
      </c>
      <c r="L54" s="125"/>
      <c r="P54" s="125"/>
    </row>
    <row r="55" spans="1:16" x14ac:dyDescent="0.2">
      <c r="A55" s="42"/>
      <c r="B55" s="37" t="s">
        <v>96</v>
      </c>
      <c r="C55" s="37"/>
      <c r="D55" s="39"/>
      <c r="E55" s="40"/>
      <c r="F55" s="44" t="s">
        <v>22</v>
      </c>
      <c r="G55" s="46">
        <v>11</v>
      </c>
      <c r="H55" s="46"/>
      <c r="I55" s="44"/>
      <c r="J55" s="186">
        <f t="shared" ref="J55:J56" si="15">G55*H55</f>
        <v>0</v>
      </c>
      <c r="K55" s="205" t="s">
        <v>185</v>
      </c>
    </row>
    <row r="56" spans="1:16" x14ac:dyDescent="0.2">
      <c r="A56" s="42"/>
      <c r="B56" s="37" t="s">
        <v>97</v>
      </c>
      <c r="C56" s="37"/>
      <c r="D56" s="39"/>
      <c r="E56" s="40"/>
      <c r="F56" s="44" t="s">
        <v>22</v>
      </c>
      <c r="G56" s="46">
        <v>1</v>
      </c>
      <c r="H56" s="46"/>
      <c r="I56" s="44"/>
      <c r="J56" s="186">
        <f t="shared" si="15"/>
        <v>0</v>
      </c>
      <c r="K56" s="205" t="s">
        <v>185</v>
      </c>
    </row>
    <row r="57" spans="1:16" x14ac:dyDescent="0.2">
      <c r="A57" s="42"/>
      <c r="B57" s="37" t="s">
        <v>98</v>
      </c>
      <c r="C57" s="37"/>
      <c r="D57" s="39"/>
      <c r="E57" s="40"/>
      <c r="F57" s="44" t="s">
        <v>22</v>
      </c>
      <c r="G57" s="46">
        <v>1</v>
      </c>
      <c r="H57" s="46"/>
      <c r="I57" s="44"/>
      <c r="J57" s="186">
        <f t="shared" ref="J57:J59" si="16">G57*H57</f>
        <v>0</v>
      </c>
      <c r="K57" s="205" t="s">
        <v>185</v>
      </c>
    </row>
    <row r="58" spans="1:16" x14ac:dyDescent="0.2">
      <c r="A58" s="42"/>
      <c r="B58" s="37" t="s">
        <v>99</v>
      </c>
      <c r="C58" s="37"/>
      <c r="D58" s="39"/>
      <c r="E58" s="40"/>
      <c r="F58" s="44" t="s">
        <v>22</v>
      </c>
      <c r="G58" s="46">
        <v>2</v>
      </c>
      <c r="H58" s="46"/>
      <c r="I58" s="44"/>
      <c r="J58" s="186">
        <f t="shared" si="16"/>
        <v>0</v>
      </c>
      <c r="K58" s="205" t="s">
        <v>185</v>
      </c>
    </row>
    <row r="59" spans="1:16" x14ac:dyDescent="0.2">
      <c r="A59" s="42"/>
      <c r="B59" s="37" t="s">
        <v>100</v>
      </c>
      <c r="C59" s="37"/>
      <c r="D59" s="39"/>
      <c r="E59" s="40"/>
      <c r="F59" s="44" t="s">
        <v>22</v>
      </c>
      <c r="G59" s="46">
        <v>3</v>
      </c>
      <c r="H59" s="46"/>
      <c r="I59" s="44"/>
      <c r="J59" s="186">
        <f t="shared" si="16"/>
        <v>0</v>
      </c>
      <c r="K59" s="205" t="s">
        <v>185</v>
      </c>
    </row>
    <row r="60" spans="1:16" x14ac:dyDescent="0.2">
      <c r="A60" s="42"/>
      <c r="B60" s="37" t="s">
        <v>69</v>
      </c>
      <c r="C60" s="37"/>
      <c r="D60" s="123"/>
      <c r="E60" s="124"/>
      <c r="F60" s="44" t="s">
        <v>19</v>
      </c>
      <c r="G60" s="46">
        <v>1</v>
      </c>
      <c r="H60" s="46"/>
      <c r="I60" s="44"/>
      <c r="J60" s="186">
        <f t="shared" ref="J60" si="17">G60*H60</f>
        <v>0</v>
      </c>
      <c r="K60" s="205" t="s">
        <v>185</v>
      </c>
      <c r="L60" s="125"/>
      <c r="P60" s="125"/>
    </row>
    <row r="61" spans="1:16" x14ac:dyDescent="0.2">
      <c r="A61" s="42"/>
      <c r="B61" s="84" t="s">
        <v>55</v>
      </c>
      <c r="C61" s="37"/>
      <c r="D61" s="123"/>
      <c r="E61" s="124"/>
      <c r="F61" s="44"/>
      <c r="G61" s="46"/>
      <c r="H61" s="160"/>
      <c r="I61" s="44"/>
      <c r="J61" s="186"/>
      <c r="K61" s="205" t="s">
        <v>185</v>
      </c>
      <c r="L61" s="125"/>
      <c r="P61" s="125"/>
    </row>
    <row r="62" spans="1:16" x14ac:dyDescent="0.2">
      <c r="A62" s="42"/>
      <c r="B62" s="37" t="s">
        <v>128</v>
      </c>
      <c r="C62" s="37"/>
      <c r="D62" s="39"/>
      <c r="E62" s="40"/>
      <c r="F62" s="44" t="s">
        <v>19</v>
      </c>
      <c r="G62" s="46">
        <v>1</v>
      </c>
      <c r="H62" s="46"/>
      <c r="I62" s="44"/>
      <c r="J62" s="186">
        <f t="shared" ref="J62" si="18">G62*H62</f>
        <v>0</v>
      </c>
      <c r="K62" s="205" t="s">
        <v>185</v>
      </c>
      <c r="P62" s="125"/>
    </row>
    <row r="63" spans="1:16" x14ac:dyDescent="0.2">
      <c r="A63" s="42"/>
      <c r="B63" s="37" t="s">
        <v>145</v>
      </c>
      <c r="C63" s="37"/>
      <c r="D63" s="123"/>
      <c r="E63" s="124"/>
      <c r="F63" s="44" t="s">
        <v>19</v>
      </c>
      <c r="G63" s="46">
        <v>1</v>
      </c>
      <c r="H63" s="46"/>
      <c r="I63" s="44"/>
      <c r="J63" s="186">
        <f t="shared" ref="J63" si="19">G63*H63</f>
        <v>0</v>
      </c>
      <c r="K63" s="205" t="s">
        <v>185</v>
      </c>
      <c r="L63" s="125"/>
      <c r="P63" s="125"/>
    </row>
    <row r="64" spans="1:16" x14ac:dyDescent="0.2">
      <c r="A64" s="42"/>
      <c r="B64" s="84" t="s">
        <v>182</v>
      </c>
      <c r="C64" s="37"/>
      <c r="D64" s="123"/>
      <c r="E64" s="124"/>
      <c r="F64" s="44"/>
      <c r="G64" s="46"/>
      <c r="H64" s="160"/>
      <c r="I64" s="44"/>
      <c r="J64" s="186"/>
      <c r="K64" s="205" t="s">
        <v>185</v>
      </c>
      <c r="L64" s="125"/>
      <c r="P64" s="125"/>
    </row>
    <row r="65" spans="1:16" x14ac:dyDescent="0.2">
      <c r="A65" s="42"/>
      <c r="B65" s="37" t="s">
        <v>105</v>
      </c>
      <c r="C65" s="37"/>
      <c r="D65" s="123"/>
      <c r="E65" s="124"/>
      <c r="F65" s="44" t="s">
        <v>22</v>
      </c>
      <c r="G65" s="46">
        <v>5</v>
      </c>
      <c r="H65" s="46"/>
      <c r="I65" s="44"/>
      <c r="J65" s="186">
        <f t="shared" ref="J65" si="20">G65*H65</f>
        <v>0</v>
      </c>
      <c r="K65" s="205" t="s">
        <v>185</v>
      </c>
      <c r="L65" s="125"/>
      <c r="P65" s="125"/>
    </row>
    <row r="66" spans="1:16" x14ac:dyDescent="0.2">
      <c r="A66" s="42"/>
      <c r="B66" s="37" t="s">
        <v>120</v>
      </c>
      <c r="C66" s="37"/>
      <c r="D66" s="123"/>
      <c r="E66" s="124"/>
      <c r="F66" s="44" t="s">
        <v>22</v>
      </c>
      <c r="G66" s="46">
        <v>1</v>
      </c>
      <c r="H66" s="46"/>
      <c r="I66" s="44"/>
      <c r="J66" s="186">
        <f t="shared" ref="J66" si="21">G66*H66</f>
        <v>0</v>
      </c>
      <c r="K66" s="205" t="s">
        <v>185</v>
      </c>
      <c r="L66" s="125"/>
      <c r="P66" s="125"/>
    </row>
    <row r="67" spans="1:16" x14ac:dyDescent="0.2">
      <c r="A67" s="42"/>
      <c r="B67" s="37" t="s">
        <v>121</v>
      </c>
      <c r="C67" s="37"/>
      <c r="D67" s="123"/>
      <c r="E67" s="124"/>
      <c r="F67" s="44" t="s">
        <v>22</v>
      </c>
      <c r="G67" s="46">
        <v>3</v>
      </c>
      <c r="H67" s="46"/>
      <c r="I67" s="44"/>
      <c r="J67" s="186">
        <f t="shared" ref="J67:J68" si="22">G67*H67</f>
        <v>0</v>
      </c>
      <c r="K67" s="205" t="s">
        <v>185</v>
      </c>
      <c r="L67" s="125"/>
      <c r="P67" s="125"/>
    </row>
    <row r="68" spans="1:16" x14ac:dyDescent="0.2">
      <c r="A68" s="42"/>
      <c r="B68" s="37" t="s">
        <v>183</v>
      </c>
      <c r="C68" s="37"/>
      <c r="D68" s="123"/>
      <c r="E68" s="124"/>
      <c r="F68" s="44" t="s">
        <v>19</v>
      </c>
      <c r="G68" s="46">
        <v>1</v>
      </c>
      <c r="H68" s="46"/>
      <c r="I68" s="44"/>
      <c r="J68" s="186">
        <f t="shared" si="22"/>
        <v>0</v>
      </c>
      <c r="K68" s="205" t="s">
        <v>185</v>
      </c>
      <c r="L68" s="125"/>
      <c r="P68" s="125"/>
    </row>
    <row r="69" spans="1:16" x14ac:dyDescent="0.2">
      <c r="A69" s="42"/>
      <c r="B69" s="37" t="s">
        <v>122</v>
      </c>
      <c r="C69" s="37"/>
      <c r="D69" s="123"/>
      <c r="E69" s="124"/>
      <c r="F69" s="44" t="s">
        <v>22</v>
      </c>
      <c r="G69" s="46">
        <v>127</v>
      </c>
      <c r="H69" s="46"/>
      <c r="I69" s="44"/>
      <c r="J69" s="186">
        <f t="shared" ref="J69" si="23">G69*H69</f>
        <v>0</v>
      </c>
      <c r="K69" s="205" t="s">
        <v>185</v>
      </c>
      <c r="L69" s="125"/>
      <c r="P69" s="125"/>
    </row>
    <row r="70" spans="1:16" x14ac:dyDescent="0.2">
      <c r="A70" s="42"/>
      <c r="B70" s="37" t="s">
        <v>129</v>
      </c>
      <c r="C70" s="37"/>
      <c r="D70" s="123"/>
      <c r="E70" s="124"/>
      <c r="F70" s="44" t="s">
        <v>22</v>
      </c>
      <c r="G70" s="46">
        <v>2</v>
      </c>
      <c r="H70" s="46"/>
      <c r="I70" s="44"/>
      <c r="J70" s="186">
        <f t="shared" ref="J70" si="24">G70*H70</f>
        <v>0</v>
      </c>
      <c r="K70" s="205" t="s">
        <v>185</v>
      </c>
      <c r="L70" s="125"/>
      <c r="P70" s="125"/>
    </row>
    <row r="71" spans="1:16" x14ac:dyDescent="0.2">
      <c r="A71" s="42"/>
      <c r="B71" s="37" t="s">
        <v>135</v>
      </c>
      <c r="C71" s="37"/>
      <c r="D71" s="123"/>
      <c r="E71" s="124"/>
      <c r="F71" s="44" t="s">
        <v>22</v>
      </c>
      <c r="G71" s="46">
        <v>2</v>
      </c>
      <c r="H71" s="46"/>
      <c r="I71" s="44"/>
      <c r="J71" s="186">
        <f t="shared" ref="J71:J72" si="25">G71*H71</f>
        <v>0</v>
      </c>
      <c r="K71" s="205" t="s">
        <v>185</v>
      </c>
      <c r="L71" s="125"/>
      <c r="P71" s="125"/>
    </row>
    <row r="72" spans="1:16" x14ac:dyDescent="0.2">
      <c r="A72" s="42"/>
      <c r="B72" s="37" t="s">
        <v>146</v>
      </c>
      <c r="C72" s="37"/>
      <c r="D72" s="123"/>
      <c r="E72" s="124"/>
      <c r="F72" s="44" t="s">
        <v>19</v>
      </c>
      <c r="G72" s="46">
        <v>1</v>
      </c>
      <c r="H72" s="46"/>
      <c r="I72" s="44"/>
      <c r="J72" s="186">
        <f t="shared" si="25"/>
        <v>0</v>
      </c>
      <c r="K72" s="205" t="s">
        <v>185</v>
      </c>
      <c r="L72" s="125"/>
      <c r="P72" s="125"/>
    </row>
    <row r="73" spans="1:16" x14ac:dyDescent="0.2">
      <c r="A73" s="42"/>
      <c r="B73" s="84" t="s">
        <v>56</v>
      </c>
      <c r="C73" s="37"/>
      <c r="D73" s="39"/>
      <c r="E73" s="40"/>
      <c r="F73" s="44"/>
      <c r="G73" s="46"/>
      <c r="H73" s="160"/>
      <c r="I73" s="44"/>
      <c r="J73" s="186"/>
      <c r="K73" s="205" t="s">
        <v>185</v>
      </c>
      <c r="L73" s="125"/>
      <c r="P73" s="125"/>
    </row>
    <row r="74" spans="1:16" x14ac:dyDescent="0.2">
      <c r="A74" s="42"/>
      <c r="B74" s="37" t="s">
        <v>62</v>
      </c>
      <c r="C74" s="37"/>
      <c r="D74" s="39"/>
      <c r="E74" s="40"/>
      <c r="F74" s="44" t="s">
        <v>18</v>
      </c>
      <c r="G74" s="46">
        <v>4.4000000000000004</v>
      </c>
      <c r="H74" s="46"/>
      <c r="I74" s="44"/>
      <c r="J74" s="186">
        <f t="shared" ref="J74:J77" si="26">G74*H74</f>
        <v>0</v>
      </c>
      <c r="K74" s="205" t="s">
        <v>185</v>
      </c>
      <c r="P74" s="125"/>
    </row>
    <row r="75" spans="1:16" x14ac:dyDescent="0.2">
      <c r="A75" s="42"/>
      <c r="B75" s="37" t="s">
        <v>109</v>
      </c>
      <c r="C75" s="37"/>
      <c r="D75" s="123"/>
      <c r="E75" s="124"/>
      <c r="F75" s="44" t="s">
        <v>18</v>
      </c>
      <c r="G75" s="46">
        <f>G74</f>
        <v>4.4000000000000004</v>
      </c>
      <c r="H75" s="46"/>
      <c r="I75" s="44"/>
      <c r="J75" s="186">
        <f t="shared" si="26"/>
        <v>0</v>
      </c>
      <c r="K75" s="205" t="s">
        <v>185</v>
      </c>
      <c r="P75" s="125"/>
    </row>
    <row r="76" spans="1:16" x14ac:dyDescent="0.2">
      <c r="A76" s="42"/>
      <c r="B76" s="37" t="s">
        <v>63</v>
      </c>
      <c r="C76" s="37"/>
      <c r="D76" s="123"/>
      <c r="E76" s="124"/>
      <c r="F76" s="44" t="s">
        <v>18</v>
      </c>
      <c r="G76" s="46">
        <f>G74</f>
        <v>4.4000000000000004</v>
      </c>
      <c r="H76" s="46"/>
      <c r="I76" s="44"/>
      <c r="J76" s="186">
        <f t="shared" si="26"/>
        <v>0</v>
      </c>
      <c r="K76" s="205" t="s">
        <v>185</v>
      </c>
      <c r="P76" s="125"/>
    </row>
    <row r="77" spans="1:16" x14ac:dyDescent="0.2">
      <c r="A77" s="42"/>
      <c r="B77" s="37" t="s">
        <v>107</v>
      </c>
      <c r="C77" s="37"/>
      <c r="D77" s="123"/>
      <c r="E77" s="124"/>
      <c r="F77" s="44" t="s">
        <v>18</v>
      </c>
      <c r="G77" s="46">
        <f>G74</f>
        <v>4.4000000000000004</v>
      </c>
      <c r="H77" s="46"/>
      <c r="I77" s="44"/>
      <c r="J77" s="186">
        <f t="shared" si="26"/>
        <v>0</v>
      </c>
      <c r="K77" s="205" t="s">
        <v>185</v>
      </c>
      <c r="P77" s="125"/>
    </row>
    <row r="78" spans="1:16" x14ac:dyDescent="0.2">
      <c r="A78" s="42"/>
      <c r="B78" s="37" t="s">
        <v>72</v>
      </c>
      <c r="C78" s="37"/>
      <c r="D78" s="123"/>
      <c r="E78" s="124"/>
      <c r="F78" s="44" t="s">
        <v>19</v>
      </c>
      <c r="G78" s="46">
        <v>1</v>
      </c>
      <c r="H78" s="46"/>
      <c r="I78" s="44"/>
      <c r="J78" s="186">
        <f t="shared" ref="J78" si="27">G78*H78</f>
        <v>0</v>
      </c>
      <c r="K78" s="205" t="s">
        <v>185</v>
      </c>
      <c r="L78" s="125"/>
      <c r="P78" s="125"/>
    </row>
    <row r="79" spans="1:16" x14ac:dyDescent="0.2">
      <c r="A79" s="42"/>
      <c r="B79" s="84" t="s">
        <v>57</v>
      </c>
      <c r="C79" s="37"/>
      <c r="D79" s="123"/>
      <c r="E79" s="124"/>
      <c r="F79" s="44"/>
      <c r="G79" s="46"/>
      <c r="H79" s="160"/>
      <c r="I79" s="44"/>
      <c r="J79" s="186"/>
      <c r="K79" s="205" t="s">
        <v>185</v>
      </c>
      <c r="L79" s="125"/>
      <c r="P79" s="125"/>
    </row>
    <row r="80" spans="1:16" x14ac:dyDescent="0.2">
      <c r="A80" s="42"/>
      <c r="B80" s="37" t="s">
        <v>108</v>
      </c>
      <c r="C80" s="37"/>
      <c r="D80" s="123"/>
      <c r="E80" s="124"/>
      <c r="F80" s="44" t="s">
        <v>18</v>
      </c>
      <c r="G80" s="46">
        <f>(62.65+15.4+35.8+54.4+49.14+9.8+14.5+24.7+28.28+50.7)</f>
        <v>345.36999999999995</v>
      </c>
      <c r="H80" s="46"/>
      <c r="I80" s="44"/>
      <c r="J80" s="186">
        <f t="shared" ref="J80:J82" si="28">G80*H80</f>
        <v>0</v>
      </c>
      <c r="K80" s="205" t="s">
        <v>185</v>
      </c>
      <c r="P80" s="125"/>
    </row>
    <row r="81" spans="1:16" x14ac:dyDescent="0.2">
      <c r="A81" s="42"/>
      <c r="B81" s="37" t="s">
        <v>64</v>
      </c>
      <c r="C81" s="37"/>
      <c r="D81" s="123"/>
      <c r="E81" s="124"/>
      <c r="F81" s="44" t="s">
        <v>18</v>
      </c>
      <c r="G81" s="46">
        <f>G80</f>
        <v>345.36999999999995</v>
      </c>
      <c r="H81" s="46"/>
      <c r="I81" s="44"/>
      <c r="J81" s="186">
        <f t="shared" si="28"/>
        <v>0</v>
      </c>
      <c r="K81" s="205" t="s">
        <v>185</v>
      </c>
      <c r="P81" s="125"/>
    </row>
    <row r="82" spans="1:16" x14ac:dyDescent="0.2">
      <c r="A82" s="42"/>
      <c r="B82" s="37" t="s">
        <v>107</v>
      </c>
      <c r="C82" s="37"/>
      <c r="D82" s="123"/>
      <c r="E82" s="124"/>
      <c r="F82" s="44" t="s">
        <v>18</v>
      </c>
      <c r="G82" s="46">
        <f>G80</f>
        <v>345.36999999999995</v>
      </c>
      <c r="H82" s="46"/>
      <c r="I82" s="44"/>
      <c r="J82" s="186">
        <f t="shared" si="28"/>
        <v>0</v>
      </c>
      <c r="K82" s="205" t="s">
        <v>185</v>
      </c>
      <c r="L82" s="125"/>
      <c r="P82" s="125"/>
    </row>
    <row r="83" spans="1:16" x14ac:dyDescent="0.2">
      <c r="A83" s="42"/>
      <c r="B83" s="37" t="s">
        <v>71</v>
      </c>
      <c r="C83" s="37"/>
      <c r="D83" s="123"/>
      <c r="E83" s="124"/>
      <c r="F83" s="44" t="s">
        <v>19</v>
      </c>
      <c r="G83" s="46">
        <v>1</v>
      </c>
      <c r="H83" s="46"/>
      <c r="I83" s="44"/>
      <c r="J83" s="186">
        <f t="shared" ref="J83" si="29">G83*H83</f>
        <v>0</v>
      </c>
      <c r="K83" s="205" t="s">
        <v>185</v>
      </c>
      <c r="L83" s="125"/>
      <c r="P83" s="125"/>
    </row>
    <row r="84" spans="1:16" x14ac:dyDescent="0.2">
      <c r="A84" s="42"/>
      <c r="B84" s="84" t="s">
        <v>58</v>
      </c>
      <c r="C84" s="37"/>
      <c r="D84" s="123"/>
      <c r="E84" s="124"/>
      <c r="F84" s="44"/>
      <c r="G84" s="46"/>
      <c r="H84" s="160"/>
      <c r="I84" s="44"/>
      <c r="J84" s="186"/>
      <c r="K84" s="205" t="s">
        <v>185</v>
      </c>
      <c r="L84" s="125"/>
      <c r="P84" s="125"/>
    </row>
    <row r="85" spans="1:16" x14ac:dyDescent="0.2">
      <c r="A85" s="42"/>
      <c r="B85" s="37" t="s">
        <v>115</v>
      </c>
      <c r="C85" s="37"/>
      <c r="D85" s="123"/>
      <c r="E85" s="124"/>
      <c r="F85" s="44" t="s">
        <v>18</v>
      </c>
      <c r="G85" s="46">
        <f>(1+0.75+0.5+0.5+1+0.75)*1.5+(2+2.15+1)*2</f>
        <v>17.05</v>
      </c>
      <c r="H85" s="46"/>
      <c r="I85" s="44"/>
      <c r="J85" s="186">
        <f t="shared" ref="J85:J86" si="30">G85*H85</f>
        <v>0</v>
      </c>
      <c r="K85" s="205" t="s">
        <v>185</v>
      </c>
      <c r="P85" s="125"/>
    </row>
    <row r="86" spans="1:16" x14ac:dyDescent="0.2">
      <c r="A86" s="42"/>
      <c r="B86" s="37" t="s">
        <v>61</v>
      </c>
      <c r="C86" s="37"/>
      <c r="D86" s="123"/>
      <c r="E86" s="124"/>
      <c r="F86" s="44" t="s">
        <v>18</v>
      </c>
      <c r="G86" s="46">
        <f>G85</f>
        <v>17.05</v>
      </c>
      <c r="H86" s="46"/>
      <c r="I86" s="44"/>
      <c r="J86" s="186">
        <f t="shared" si="30"/>
        <v>0</v>
      </c>
      <c r="K86" s="205" t="s">
        <v>185</v>
      </c>
      <c r="P86" s="125"/>
    </row>
    <row r="87" spans="1:16" x14ac:dyDescent="0.2">
      <c r="A87" s="42"/>
      <c r="B87" s="37" t="s">
        <v>73</v>
      </c>
      <c r="C87" s="37"/>
      <c r="D87" s="123"/>
      <c r="E87" s="124"/>
      <c r="F87" s="44" t="s">
        <v>19</v>
      </c>
      <c r="G87" s="46">
        <v>1</v>
      </c>
      <c r="H87" s="46"/>
      <c r="I87" s="44"/>
      <c r="J87" s="186">
        <f t="shared" ref="J87" si="31">G87*H87</f>
        <v>0</v>
      </c>
      <c r="K87" s="205" t="s">
        <v>185</v>
      </c>
      <c r="L87" s="125"/>
      <c r="P87" s="125"/>
    </row>
    <row r="88" spans="1:16" x14ac:dyDescent="0.2">
      <c r="A88" s="42"/>
      <c r="B88" s="84" t="s">
        <v>59</v>
      </c>
      <c r="C88" s="37"/>
      <c r="D88" s="123"/>
      <c r="E88" s="124"/>
      <c r="F88" s="44"/>
      <c r="G88" s="46"/>
      <c r="H88" s="160"/>
      <c r="I88" s="44"/>
      <c r="J88" s="186"/>
      <c r="K88" s="205" t="s">
        <v>185</v>
      </c>
      <c r="P88" s="125"/>
    </row>
    <row r="89" spans="1:16" x14ac:dyDescent="0.2">
      <c r="A89" s="42"/>
      <c r="B89" s="37" t="s">
        <v>147</v>
      </c>
      <c r="C89" s="37"/>
      <c r="D89" s="39"/>
      <c r="E89" s="40"/>
      <c r="F89" s="44" t="s">
        <v>18</v>
      </c>
      <c r="G89" s="46">
        <f>G37+G38</f>
        <v>874.58320000000003</v>
      </c>
      <c r="H89" s="46"/>
      <c r="I89" s="44"/>
      <c r="J89" s="186">
        <f t="shared" ref="J89" si="32">G89*H89</f>
        <v>0</v>
      </c>
      <c r="K89" s="205" t="s">
        <v>185</v>
      </c>
    </row>
    <row r="90" spans="1:16" x14ac:dyDescent="0.2">
      <c r="A90" s="42"/>
      <c r="B90" s="84" t="s">
        <v>60</v>
      </c>
      <c r="C90" s="37"/>
      <c r="D90" s="39"/>
      <c r="E90" s="40"/>
      <c r="F90" s="44"/>
      <c r="G90" s="46"/>
      <c r="H90" s="160"/>
      <c r="I90" s="44"/>
      <c r="J90" s="186"/>
      <c r="K90" s="205" t="s">
        <v>185</v>
      </c>
      <c r="P90" s="125"/>
    </row>
    <row r="91" spans="1:16" x14ac:dyDescent="0.2">
      <c r="A91" s="42"/>
      <c r="B91" s="37" t="s">
        <v>119</v>
      </c>
      <c r="C91" s="37"/>
      <c r="D91" s="39"/>
      <c r="E91" s="40"/>
      <c r="F91" s="44" t="s">
        <v>22</v>
      </c>
      <c r="G91" s="46">
        <v>2</v>
      </c>
      <c r="H91" s="46"/>
      <c r="I91" s="44"/>
      <c r="J91" s="186">
        <f t="shared" ref="J91" si="33">G91*H91</f>
        <v>0</v>
      </c>
      <c r="K91" s="205" t="s">
        <v>185</v>
      </c>
      <c r="P91" s="125"/>
    </row>
    <row r="92" spans="1:16" x14ac:dyDescent="0.2">
      <c r="A92" s="42"/>
      <c r="B92" s="37" t="s">
        <v>83</v>
      </c>
      <c r="C92" s="37"/>
      <c r="D92" s="39"/>
      <c r="E92" s="40"/>
      <c r="F92" s="44" t="s">
        <v>18</v>
      </c>
      <c r="G92" s="46">
        <f>79+35.8+54.4+49.14+24.76+24.7</f>
        <v>267.79999999999995</v>
      </c>
      <c r="H92" s="46"/>
      <c r="I92" s="44"/>
      <c r="J92" s="186">
        <f t="shared" ref="J92" si="34">G92*H92</f>
        <v>0</v>
      </c>
      <c r="K92" s="205" t="s">
        <v>185</v>
      </c>
      <c r="P92" s="125"/>
    </row>
    <row r="93" spans="1:16" x14ac:dyDescent="0.2">
      <c r="A93" s="42"/>
      <c r="B93" s="37" t="s">
        <v>84</v>
      </c>
      <c r="C93" s="37"/>
      <c r="D93" s="39"/>
      <c r="E93" s="40"/>
      <c r="F93" s="44" t="s">
        <v>18</v>
      </c>
      <c r="G93" s="46">
        <f>79.99</f>
        <v>79.989999999999995</v>
      </c>
      <c r="H93" s="46"/>
      <c r="I93" s="44"/>
      <c r="J93" s="186">
        <f t="shared" ref="J93:J108" si="35">G93*H93</f>
        <v>0</v>
      </c>
      <c r="K93" s="205" t="s">
        <v>185</v>
      </c>
    </row>
    <row r="94" spans="1:16" x14ac:dyDescent="0.2">
      <c r="A94" s="42"/>
      <c r="B94" s="37" t="s">
        <v>81</v>
      </c>
      <c r="C94" s="37"/>
      <c r="D94" s="39"/>
      <c r="E94" s="40"/>
      <c r="F94" s="44" t="s">
        <v>17</v>
      </c>
      <c r="G94" s="46">
        <f>1*0.65*2.1+1*0.14*2.1+1.2*1.2*0.77*2</f>
        <v>3.8766000000000003</v>
      </c>
      <c r="H94" s="46"/>
      <c r="I94" s="44"/>
      <c r="J94" s="186">
        <f t="shared" si="35"/>
        <v>0</v>
      </c>
      <c r="K94" s="205" t="s">
        <v>185</v>
      </c>
    </row>
    <row r="95" spans="1:16" x14ac:dyDescent="0.2">
      <c r="A95" s="42"/>
      <c r="B95" s="37" t="s">
        <v>93</v>
      </c>
      <c r="C95" s="37"/>
      <c r="D95" s="39"/>
      <c r="E95" s="40"/>
      <c r="F95" s="44" t="s">
        <v>22</v>
      </c>
      <c r="G95" s="46">
        <v>2</v>
      </c>
      <c r="H95" s="46"/>
      <c r="I95" s="44"/>
      <c r="J95" s="186">
        <f t="shared" si="35"/>
        <v>0</v>
      </c>
      <c r="K95" s="205" t="s">
        <v>185</v>
      </c>
      <c r="P95" s="125"/>
    </row>
    <row r="96" spans="1:16" x14ac:dyDescent="0.2">
      <c r="A96" s="42"/>
      <c r="B96" s="37" t="s">
        <v>85</v>
      </c>
      <c r="C96" s="37"/>
      <c r="D96" s="39"/>
      <c r="E96" s="40"/>
      <c r="F96" s="44" t="s">
        <v>19</v>
      </c>
      <c r="G96" s="46">
        <v>1</v>
      </c>
      <c r="H96" s="46"/>
      <c r="I96" s="44"/>
      <c r="J96" s="186">
        <f t="shared" si="35"/>
        <v>0</v>
      </c>
      <c r="K96" s="205" t="s">
        <v>185</v>
      </c>
    </row>
    <row r="97" spans="1:16" x14ac:dyDescent="0.2">
      <c r="A97" s="42"/>
      <c r="B97" s="37" t="s">
        <v>87</v>
      </c>
      <c r="C97" s="37"/>
      <c r="D97" s="39"/>
      <c r="E97" s="40"/>
      <c r="F97" s="44" t="s">
        <v>18</v>
      </c>
      <c r="G97" s="46">
        <f>(13.55+6)*3.25*2+(8.73+4.46)*3.28*2+(13.3+6+4.7)*3.33*2+(12.6+3.9)*3.27*2+(4.77+4.89+0.4+0.42)*3.23*2+(8.4+2.96)*3.07*2+(13.15+6)*2.99*2+(6.53+3.78)*3*2-G98-1*2.1*13-List1!B7+List1!C7</f>
        <v>756.88460000000009</v>
      </c>
      <c r="H97" s="46"/>
      <c r="I97" s="44"/>
      <c r="J97" s="186">
        <f t="shared" si="35"/>
        <v>0</v>
      </c>
      <c r="K97" s="205" t="s">
        <v>185</v>
      </c>
    </row>
    <row r="98" spans="1:16" x14ac:dyDescent="0.2">
      <c r="A98" s="42"/>
      <c r="B98" s="37" t="s">
        <v>88</v>
      </c>
      <c r="C98" s="37"/>
      <c r="D98" s="39"/>
      <c r="E98" s="40"/>
      <c r="F98" s="44" t="s">
        <v>18</v>
      </c>
      <c r="G98" s="46">
        <f>(0.95*6+6+1.4+1.41+0.2+1)*1.5</f>
        <v>23.564999999999998</v>
      </c>
      <c r="H98" s="46"/>
      <c r="I98" s="44"/>
      <c r="J98" s="186">
        <f t="shared" ref="J98" si="36">G98*H98</f>
        <v>0</v>
      </c>
      <c r="K98" s="205" t="s">
        <v>185</v>
      </c>
    </row>
    <row r="99" spans="1:16" x14ac:dyDescent="0.2">
      <c r="A99" s="42"/>
      <c r="B99" s="37" t="s">
        <v>89</v>
      </c>
      <c r="C99" s="37"/>
      <c r="D99" s="39"/>
      <c r="E99" s="40"/>
      <c r="F99" s="44" t="s">
        <v>18</v>
      </c>
      <c r="G99" s="46">
        <f>(1.32+1.89+5+32.26+12.43+5.12+1.9+1.33)*0.5</f>
        <v>30.624999999999996</v>
      </c>
      <c r="H99" s="46"/>
      <c r="I99" s="44"/>
      <c r="J99" s="186">
        <f t="shared" si="35"/>
        <v>0</v>
      </c>
      <c r="K99" s="205" t="s">
        <v>185</v>
      </c>
    </row>
    <row r="100" spans="1:16" x14ac:dyDescent="0.2">
      <c r="A100" s="42"/>
      <c r="B100" s="37" t="s">
        <v>90</v>
      </c>
      <c r="C100" s="37"/>
      <c r="D100" s="123"/>
      <c r="E100" s="124"/>
      <c r="F100" s="44" t="s">
        <v>18</v>
      </c>
      <c r="G100" s="46">
        <f>(12.4+1.89+2.5+7+3.5*2+12.36+17.2+4.65)*1.5</f>
        <v>97.5</v>
      </c>
      <c r="H100" s="46"/>
      <c r="I100" s="44"/>
      <c r="J100" s="186">
        <f t="shared" si="35"/>
        <v>0</v>
      </c>
      <c r="K100" s="205" t="s">
        <v>185</v>
      </c>
      <c r="P100" s="125"/>
    </row>
    <row r="101" spans="1:16" x14ac:dyDescent="0.2">
      <c r="A101" s="42"/>
      <c r="B101" s="37" t="s">
        <v>92</v>
      </c>
      <c r="C101" s="37"/>
      <c r="D101" s="123"/>
      <c r="E101" s="124"/>
      <c r="F101" s="44" t="s">
        <v>18</v>
      </c>
      <c r="G101" s="46">
        <f>(1.86+5+32.26+11.92+10.94+0.72+2.5+7+1.25+3.5*2+9.4+1.22+14.25+5.12+1.86)*0.9</f>
        <v>101.07</v>
      </c>
      <c r="H101" s="46"/>
      <c r="I101" s="44"/>
      <c r="J101" s="186">
        <f t="shared" si="35"/>
        <v>0</v>
      </c>
      <c r="K101" s="205" t="s">
        <v>185</v>
      </c>
      <c r="P101" s="125"/>
    </row>
    <row r="102" spans="1:16" x14ac:dyDescent="0.2">
      <c r="A102" s="42"/>
      <c r="B102" s="37" t="s">
        <v>91</v>
      </c>
      <c r="C102" s="37"/>
      <c r="D102" s="39"/>
      <c r="E102" s="40"/>
      <c r="F102" s="44" t="s">
        <v>19</v>
      </c>
      <c r="G102" s="46">
        <v>1</v>
      </c>
      <c r="H102" s="46"/>
      <c r="I102" s="44"/>
      <c r="J102" s="186">
        <f t="shared" si="35"/>
        <v>0</v>
      </c>
      <c r="K102" s="205" t="s">
        <v>185</v>
      </c>
    </row>
    <row r="103" spans="1:16" x14ac:dyDescent="0.2">
      <c r="A103" s="42"/>
      <c r="B103" s="37" t="s">
        <v>82</v>
      </c>
      <c r="C103" s="37"/>
      <c r="D103" s="39"/>
      <c r="E103" s="40"/>
      <c r="F103" s="44" t="s">
        <v>19</v>
      </c>
      <c r="G103" s="46">
        <v>1</v>
      </c>
      <c r="H103" s="46"/>
      <c r="I103" s="44"/>
      <c r="J103" s="186">
        <f t="shared" ref="J103" si="37">G103*H103</f>
        <v>0</v>
      </c>
      <c r="K103" s="205" t="s">
        <v>185</v>
      </c>
    </row>
    <row r="104" spans="1:16" x14ac:dyDescent="0.2">
      <c r="A104" s="42"/>
      <c r="B104" s="37" t="s">
        <v>86</v>
      </c>
      <c r="C104" s="37"/>
      <c r="D104" s="39"/>
      <c r="E104" s="40"/>
      <c r="F104" s="44" t="s">
        <v>18</v>
      </c>
      <c r="G104" s="46">
        <f>G93+G92</f>
        <v>347.78999999999996</v>
      </c>
      <c r="H104" s="46"/>
      <c r="I104" s="44"/>
      <c r="J104" s="186">
        <f t="shared" ref="J104:J106" si="38">G104*H104</f>
        <v>0</v>
      </c>
      <c r="K104" s="205" t="s">
        <v>185</v>
      </c>
    </row>
    <row r="105" spans="1:16" x14ac:dyDescent="0.2">
      <c r="A105" s="42"/>
      <c r="B105" s="37" t="s">
        <v>106</v>
      </c>
      <c r="C105" s="37"/>
      <c r="D105" s="39"/>
      <c r="E105" s="40"/>
      <c r="F105" s="44" t="s">
        <v>19</v>
      </c>
      <c r="G105" s="46">
        <v>1</v>
      </c>
      <c r="H105" s="46"/>
      <c r="I105" s="44"/>
      <c r="J105" s="186">
        <f t="shared" si="38"/>
        <v>0</v>
      </c>
      <c r="K105" s="205" t="s">
        <v>185</v>
      </c>
    </row>
    <row r="106" spans="1:16" x14ac:dyDescent="0.2">
      <c r="A106" s="42"/>
      <c r="B106" s="37" t="s">
        <v>94</v>
      </c>
      <c r="C106" s="37"/>
      <c r="D106" s="39"/>
      <c r="E106" s="40"/>
      <c r="F106" s="44" t="s">
        <v>19</v>
      </c>
      <c r="G106" s="46">
        <v>1</v>
      </c>
      <c r="H106" s="46"/>
      <c r="I106" s="44"/>
      <c r="J106" s="186">
        <f t="shared" si="38"/>
        <v>0</v>
      </c>
      <c r="K106" s="205" t="s">
        <v>185</v>
      </c>
    </row>
    <row r="107" spans="1:16" x14ac:dyDescent="0.2">
      <c r="A107" s="42"/>
      <c r="B107" s="37" t="s">
        <v>21</v>
      </c>
      <c r="C107" s="37"/>
      <c r="D107" s="39"/>
      <c r="E107" s="40"/>
      <c r="F107" s="44" t="s">
        <v>19</v>
      </c>
      <c r="G107" s="46">
        <v>1</v>
      </c>
      <c r="H107" s="46"/>
      <c r="I107" s="44"/>
      <c r="J107" s="186">
        <f t="shared" si="35"/>
        <v>0</v>
      </c>
      <c r="K107" s="205" t="s">
        <v>185</v>
      </c>
    </row>
    <row r="108" spans="1:16" x14ac:dyDescent="0.2">
      <c r="A108" s="42"/>
      <c r="B108" s="37" t="s">
        <v>176</v>
      </c>
      <c r="C108" s="37"/>
      <c r="D108" s="39"/>
      <c r="E108" s="40"/>
      <c r="F108" s="44" t="s">
        <v>19</v>
      </c>
      <c r="G108" s="46">
        <v>1</v>
      </c>
      <c r="H108" s="46">
        <f>(SUM(J24:J43)+SUM(J93:J107))*0.03</f>
        <v>0</v>
      </c>
      <c r="I108" s="44"/>
      <c r="J108" s="186">
        <f t="shared" si="35"/>
        <v>0</v>
      </c>
      <c r="K108" s="205" t="s">
        <v>185</v>
      </c>
    </row>
    <row r="109" spans="1:16" x14ac:dyDescent="0.2">
      <c r="A109" s="42"/>
      <c r="B109" s="37"/>
      <c r="C109" s="37"/>
      <c r="D109" s="39"/>
      <c r="E109" s="40"/>
      <c r="F109" s="44"/>
      <c r="G109" s="46"/>
      <c r="H109" s="160"/>
      <c r="I109" s="44"/>
      <c r="J109" s="186"/>
      <c r="K109" s="205"/>
    </row>
    <row r="110" spans="1:16" x14ac:dyDescent="0.2">
      <c r="A110" s="42"/>
      <c r="B110" s="37"/>
      <c r="C110" s="37"/>
      <c r="D110" s="39"/>
      <c r="E110" s="40"/>
      <c r="F110" s="44"/>
      <c r="G110" s="46"/>
      <c r="H110" s="160"/>
      <c r="I110" s="44"/>
      <c r="J110" s="186"/>
      <c r="K110" s="205"/>
    </row>
    <row r="111" spans="1:16" s="91" customFormat="1" x14ac:dyDescent="0.2">
      <c r="A111" s="85"/>
      <c r="B111" s="84" t="s">
        <v>45</v>
      </c>
      <c r="C111" s="86"/>
      <c r="D111" s="87"/>
      <c r="E111" s="88"/>
      <c r="F111" s="89"/>
      <c r="G111" s="90"/>
      <c r="H111" s="161"/>
      <c r="I111" s="89"/>
      <c r="J111" s="190">
        <f>SUM(J112:J152)</f>
        <v>0</v>
      </c>
      <c r="K111" s="205" t="s">
        <v>185</v>
      </c>
    </row>
    <row r="112" spans="1:16" x14ac:dyDescent="0.2">
      <c r="A112" s="42"/>
      <c r="B112" s="84" t="s">
        <v>42</v>
      </c>
      <c r="C112" s="37"/>
      <c r="D112" s="123"/>
      <c r="E112" s="124"/>
      <c r="F112" s="44" t="s">
        <v>19</v>
      </c>
      <c r="G112" s="46">
        <v>1</v>
      </c>
      <c r="H112" s="46">
        <f>SUM(H113:H126)</f>
        <v>0</v>
      </c>
      <c r="I112" s="44"/>
      <c r="J112" s="186">
        <f>G112*H112</f>
        <v>0</v>
      </c>
      <c r="K112" s="205" t="s">
        <v>185</v>
      </c>
      <c r="P112" s="125"/>
    </row>
    <row r="113" spans="1:16" x14ac:dyDescent="0.2">
      <c r="A113" s="42"/>
      <c r="B113" s="172" t="s">
        <v>166</v>
      </c>
      <c r="C113" s="37"/>
      <c r="D113" s="123"/>
      <c r="E113" s="124"/>
      <c r="F113" s="44"/>
      <c r="G113" s="46"/>
      <c r="H113" s="160"/>
      <c r="I113" s="44"/>
      <c r="J113" s="186"/>
      <c r="K113" s="205" t="s">
        <v>185</v>
      </c>
      <c r="P113" s="125"/>
    </row>
    <row r="114" spans="1:16" x14ac:dyDescent="0.2">
      <c r="A114" s="42"/>
      <c r="B114" s="168" t="s">
        <v>167</v>
      </c>
      <c r="C114" s="37"/>
      <c r="D114" s="123"/>
      <c r="E114" s="124"/>
      <c r="F114" s="44"/>
      <c r="G114" s="46"/>
      <c r="H114" s="171"/>
      <c r="I114" s="44"/>
      <c r="J114" s="186"/>
      <c r="K114" s="205" t="s">
        <v>185</v>
      </c>
      <c r="P114" s="125"/>
    </row>
    <row r="115" spans="1:16" x14ac:dyDescent="0.2">
      <c r="A115" s="42"/>
      <c r="B115" s="168" t="s">
        <v>165</v>
      </c>
      <c r="C115" s="37"/>
      <c r="D115" s="123"/>
      <c r="E115" s="124"/>
      <c r="F115" s="44"/>
      <c r="G115" s="46"/>
      <c r="H115" s="171"/>
      <c r="I115" s="44"/>
      <c r="J115" s="186"/>
      <c r="K115" s="205" t="s">
        <v>185</v>
      </c>
      <c r="P115" s="125"/>
    </row>
    <row r="116" spans="1:16" x14ac:dyDescent="0.2">
      <c r="A116" s="42"/>
      <c r="B116" s="168" t="s">
        <v>168</v>
      </c>
      <c r="C116" s="37"/>
      <c r="D116" s="123"/>
      <c r="E116" s="124"/>
      <c r="F116" s="44"/>
      <c r="G116" s="46"/>
      <c r="H116" s="171"/>
      <c r="I116" s="44"/>
      <c r="J116" s="186"/>
      <c r="K116" s="205" t="s">
        <v>185</v>
      </c>
      <c r="P116" s="125"/>
    </row>
    <row r="117" spans="1:16" x14ac:dyDescent="0.2">
      <c r="A117" s="42"/>
      <c r="B117" s="168" t="s">
        <v>169</v>
      </c>
      <c r="C117" s="37"/>
      <c r="D117" s="123"/>
      <c r="E117" s="124"/>
      <c r="F117" s="44"/>
      <c r="G117" s="46"/>
      <c r="H117" s="171"/>
      <c r="I117" s="44"/>
      <c r="J117" s="186"/>
      <c r="K117" s="205" t="s">
        <v>185</v>
      </c>
      <c r="P117" s="125"/>
    </row>
    <row r="118" spans="1:16" x14ac:dyDescent="0.2">
      <c r="A118" s="42"/>
      <c r="B118" s="168" t="s">
        <v>170</v>
      </c>
      <c r="C118" s="37"/>
      <c r="D118" s="123"/>
      <c r="E118" s="124"/>
      <c r="F118" s="44"/>
      <c r="G118" s="46"/>
      <c r="H118" s="171"/>
      <c r="I118" s="44"/>
      <c r="J118" s="186"/>
      <c r="K118" s="205" t="s">
        <v>185</v>
      </c>
      <c r="P118" s="125"/>
    </row>
    <row r="119" spans="1:16" x14ac:dyDescent="0.2">
      <c r="A119" s="42"/>
      <c r="B119" s="168" t="s">
        <v>171</v>
      </c>
      <c r="C119" s="37"/>
      <c r="D119" s="123"/>
      <c r="E119" s="124"/>
      <c r="F119" s="44"/>
      <c r="G119" s="46"/>
      <c r="H119" s="171"/>
      <c r="I119" s="44"/>
      <c r="J119" s="186"/>
      <c r="K119" s="205" t="s">
        <v>185</v>
      </c>
      <c r="P119" s="125"/>
    </row>
    <row r="120" spans="1:16" x14ac:dyDescent="0.2">
      <c r="A120" s="42"/>
      <c r="B120" s="168" t="s">
        <v>157</v>
      </c>
      <c r="C120" s="37"/>
      <c r="D120" s="123"/>
      <c r="E120" s="124"/>
      <c r="F120" s="44"/>
      <c r="G120" s="46"/>
      <c r="H120" s="171"/>
      <c r="I120" s="44"/>
      <c r="J120" s="186"/>
      <c r="K120" s="205" t="s">
        <v>185</v>
      </c>
      <c r="P120" s="125"/>
    </row>
    <row r="121" spans="1:16" x14ac:dyDescent="0.2">
      <c r="A121" s="42"/>
      <c r="B121" s="172" t="s">
        <v>172</v>
      </c>
      <c r="C121" s="37"/>
      <c r="D121" s="123"/>
      <c r="E121" s="124"/>
      <c r="F121" s="44"/>
      <c r="G121" s="46"/>
      <c r="H121" s="173"/>
      <c r="I121" s="44"/>
      <c r="J121" s="186"/>
      <c r="K121" s="205" t="s">
        <v>185</v>
      </c>
      <c r="P121" s="125"/>
    </row>
    <row r="122" spans="1:16" x14ac:dyDescent="0.2">
      <c r="A122" s="42"/>
      <c r="B122" s="169" t="s">
        <v>173</v>
      </c>
      <c r="C122" s="37"/>
      <c r="D122" s="123"/>
      <c r="E122" s="124"/>
      <c r="F122" s="44"/>
      <c r="G122" s="46"/>
      <c r="H122" s="171"/>
      <c r="I122" s="44"/>
      <c r="J122" s="186"/>
      <c r="K122" s="205" t="s">
        <v>185</v>
      </c>
      <c r="P122" s="125"/>
    </row>
    <row r="123" spans="1:16" x14ac:dyDescent="0.2">
      <c r="A123" s="42"/>
      <c r="B123" s="168" t="s">
        <v>165</v>
      </c>
      <c r="C123" s="37"/>
      <c r="D123" s="123"/>
      <c r="E123" s="124"/>
      <c r="F123" s="44"/>
      <c r="G123" s="46"/>
      <c r="H123" s="171"/>
      <c r="I123" s="44"/>
      <c r="J123" s="186"/>
      <c r="K123" s="205" t="s">
        <v>185</v>
      </c>
      <c r="P123" s="125"/>
    </row>
    <row r="124" spans="1:16" x14ac:dyDescent="0.2">
      <c r="A124" s="42"/>
      <c r="B124" s="168" t="s">
        <v>174</v>
      </c>
      <c r="C124" s="37"/>
      <c r="D124" s="123"/>
      <c r="E124" s="124"/>
      <c r="F124" s="44"/>
      <c r="G124" s="46"/>
      <c r="H124" s="171"/>
      <c r="I124" s="44"/>
      <c r="J124" s="186"/>
      <c r="K124" s="205" t="s">
        <v>185</v>
      </c>
      <c r="P124" s="125"/>
    </row>
    <row r="125" spans="1:16" x14ac:dyDescent="0.2">
      <c r="A125" s="42"/>
      <c r="B125" s="168" t="s">
        <v>175</v>
      </c>
      <c r="C125" s="37"/>
      <c r="D125" s="123"/>
      <c r="E125" s="124"/>
      <c r="F125" s="44"/>
      <c r="G125" s="46"/>
      <c r="H125" s="171"/>
      <c r="I125" s="44"/>
      <c r="J125" s="186"/>
      <c r="K125" s="205" t="s">
        <v>185</v>
      </c>
      <c r="P125" s="125"/>
    </row>
    <row r="126" spans="1:16" x14ac:dyDescent="0.2">
      <c r="A126" s="42"/>
      <c r="B126" s="168" t="s">
        <v>157</v>
      </c>
      <c r="C126" s="37"/>
      <c r="D126" s="123"/>
      <c r="E126" s="124"/>
      <c r="F126" s="44"/>
      <c r="G126" s="46"/>
      <c r="H126" s="171"/>
      <c r="I126" s="44"/>
      <c r="J126" s="186"/>
      <c r="K126" s="205" t="s">
        <v>185</v>
      </c>
      <c r="P126" s="125"/>
    </row>
    <row r="127" spans="1:16" x14ac:dyDescent="0.2">
      <c r="A127" s="42"/>
      <c r="B127" s="84" t="s">
        <v>43</v>
      </c>
      <c r="C127" s="37"/>
      <c r="D127" s="123"/>
      <c r="E127" s="124"/>
      <c r="F127" s="44" t="s">
        <v>19</v>
      </c>
      <c r="G127" s="46">
        <v>1</v>
      </c>
      <c r="H127" s="46">
        <f>SUM(H128:H133)</f>
        <v>0</v>
      </c>
      <c r="I127" s="44"/>
      <c r="J127" s="186">
        <f>G127*H127</f>
        <v>0</v>
      </c>
      <c r="K127" s="205" t="s">
        <v>185</v>
      </c>
      <c r="P127" s="125"/>
    </row>
    <row r="128" spans="1:16" x14ac:dyDescent="0.2">
      <c r="A128" s="42"/>
      <c r="B128" s="168" t="s">
        <v>152</v>
      </c>
      <c r="C128" s="37"/>
      <c r="D128" s="123"/>
      <c r="E128" s="124"/>
      <c r="F128" s="44"/>
      <c r="G128" s="46"/>
      <c r="H128" s="171"/>
      <c r="I128" s="44"/>
      <c r="J128" s="186"/>
      <c r="K128" s="205" t="s">
        <v>185</v>
      </c>
      <c r="P128" s="125"/>
    </row>
    <row r="129" spans="1:16" x14ac:dyDescent="0.2">
      <c r="A129" s="42"/>
      <c r="B129" s="168" t="s">
        <v>153</v>
      </c>
      <c r="C129" s="37"/>
      <c r="D129" s="123"/>
      <c r="E129" s="124"/>
      <c r="F129" s="44"/>
      <c r="G129" s="46"/>
      <c r="H129" s="171"/>
      <c r="I129" s="44"/>
      <c r="J129" s="186"/>
      <c r="K129" s="205" t="s">
        <v>185</v>
      </c>
      <c r="P129" s="125"/>
    </row>
    <row r="130" spans="1:16" x14ac:dyDescent="0.2">
      <c r="A130" s="42"/>
      <c r="B130" s="169" t="s">
        <v>154</v>
      </c>
      <c r="C130" s="37"/>
      <c r="D130" s="123"/>
      <c r="E130" s="124"/>
      <c r="F130" s="44"/>
      <c r="G130" s="46"/>
      <c r="H130" s="171"/>
      <c r="I130" s="44"/>
      <c r="J130" s="186"/>
      <c r="K130" s="205" t="s">
        <v>185</v>
      </c>
      <c r="P130" s="125"/>
    </row>
    <row r="131" spans="1:16" x14ac:dyDescent="0.2">
      <c r="A131" s="42"/>
      <c r="B131" s="168" t="s">
        <v>155</v>
      </c>
      <c r="C131" s="37"/>
      <c r="D131" s="123"/>
      <c r="E131" s="124"/>
      <c r="F131" s="44"/>
      <c r="G131" s="46"/>
      <c r="H131" s="171"/>
      <c r="I131" s="44"/>
      <c r="J131" s="186"/>
      <c r="K131" s="205" t="s">
        <v>185</v>
      </c>
      <c r="P131" s="125"/>
    </row>
    <row r="132" spans="1:16" x14ac:dyDescent="0.2">
      <c r="A132" s="42"/>
      <c r="B132" s="168" t="s">
        <v>156</v>
      </c>
      <c r="C132" s="37"/>
      <c r="D132" s="123"/>
      <c r="E132" s="124"/>
      <c r="F132" s="44"/>
      <c r="G132" s="46"/>
      <c r="H132" s="171"/>
      <c r="I132" s="44"/>
      <c r="J132" s="186"/>
      <c r="K132" s="205" t="s">
        <v>185</v>
      </c>
      <c r="P132" s="125"/>
    </row>
    <row r="133" spans="1:16" x14ac:dyDescent="0.2">
      <c r="A133" s="42"/>
      <c r="B133" s="168" t="s">
        <v>157</v>
      </c>
      <c r="C133" s="37"/>
      <c r="D133" s="123"/>
      <c r="E133" s="124"/>
      <c r="F133" s="44"/>
      <c r="G133" s="46"/>
      <c r="H133" s="171"/>
      <c r="I133" s="44"/>
      <c r="J133" s="186"/>
      <c r="K133" s="205" t="s">
        <v>185</v>
      </c>
      <c r="P133" s="125"/>
    </row>
    <row r="134" spans="1:16" x14ac:dyDescent="0.2">
      <c r="A134" s="42"/>
      <c r="B134" s="84" t="s">
        <v>44</v>
      </c>
      <c r="C134" s="37"/>
      <c r="D134" s="123"/>
      <c r="E134" s="124"/>
      <c r="F134" s="44" t="s">
        <v>19</v>
      </c>
      <c r="G134" s="46">
        <v>1</v>
      </c>
      <c r="H134" s="46">
        <f>SUM(H135:H140)</f>
        <v>0</v>
      </c>
      <c r="I134" s="44"/>
      <c r="J134" s="186">
        <f>G134*H134</f>
        <v>0</v>
      </c>
      <c r="K134" s="205" t="s">
        <v>185</v>
      </c>
      <c r="P134" s="125"/>
    </row>
    <row r="135" spans="1:16" x14ac:dyDescent="0.2">
      <c r="A135" s="42"/>
      <c r="B135" s="168" t="s">
        <v>158</v>
      </c>
      <c r="C135" s="170"/>
      <c r="D135" s="123"/>
      <c r="E135" s="124"/>
      <c r="F135" s="44"/>
      <c r="G135" s="46"/>
      <c r="H135" s="171"/>
      <c r="I135" s="44"/>
      <c r="J135" s="186"/>
      <c r="K135" s="205" t="s">
        <v>185</v>
      </c>
      <c r="P135" s="125"/>
    </row>
    <row r="136" spans="1:16" x14ac:dyDescent="0.2">
      <c r="A136" s="42"/>
      <c r="B136" s="168" t="s">
        <v>159</v>
      </c>
      <c r="C136" s="170"/>
      <c r="D136" s="123"/>
      <c r="E136" s="124"/>
      <c r="F136" s="44"/>
      <c r="G136" s="46"/>
      <c r="H136" s="171"/>
      <c r="I136" s="44"/>
      <c r="J136" s="186"/>
      <c r="K136" s="205" t="s">
        <v>185</v>
      </c>
      <c r="P136" s="125"/>
    </row>
    <row r="137" spans="1:16" x14ac:dyDescent="0.2">
      <c r="A137" s="42"/>
      <c r="B137" s="168" t="s">
        <v>160</v>
      </c>
      <c r="C137" s="170"/>
      <c r="D137" s="123"/>
      <c r="E137" s="124"/>
      <c r="F137" s="44"/>
      <c r="G137" s="46"/>
      <c r="H137" s="171"/>
      <c r="I137" s="44"/>
      <c r="J137" s="186"/>
      <c r="K137" s="205" t="s">
        <v>185</v>
      </c>
      <c r="P137" s="125"/>
    </row>
    <row r="138" spans="1:16" s="139" customFormat="1" x14ac:dyDescent="0.2">
      <c r="A138" s="134"/>
      <c r="B138" s="168" t="s">
        <v>161</v>
      </c>
      <c r="C138" s="170"/>
      <c r="D138" s="135"/>
      <c r="E138" s="136"/>
      <c r="F138" s="137"/>
      <c r="G138" s="138"/>
      <c r="H138" s="171"/>
      <c r="I138" s="137"/>
      <c r="J138" s="191"/>
      <c r="K138" s="205" t="s">
        <v>185</v>
      </c>
      <c r="P138" s="140"/>
    </row>
    <row r="139" spans="1:16" s="139" customFormat="1" x14ac:dyDescent="0.2">
      <c r="A139" s="134"/>
      <c r="B139" s="168" t="s">
        <v>162</v>
      </c>
      <c r="C139" s="170"/>
      <c r="D139" s="135"/>
      <c r="E139" s="136"/>
      <c r="F139" s="137"/>
      <c r="G139" s="138"/>
      <c r="H139" s="171"/>
      <c r="I139" s="137"/>
      <c r="J139" s="191"/>
      <c r="K139" s="205" t="s">
        <v>185</v>
      </c>
      <c r="P139" s="140"/>
    </row>
    <row r="140" spans="1:16" s="139" customFormat="1" x14ac:dyDescent="0.2">
      <c r="A140" s="134"/>
      <c r="B140" s="168" t="s">
        <v>157</v>
      </c>
      <c r="C140" s="168"/>
      <c r="D140" s="135"/>
      <c r="E140" s="136"/>
      <c r="F140" s="137"/>
      <c r="G140" s="138"/>
      <c r="H140" s="171"/>
      <c r="I140" s="137"/>
      <c r="J140" s="191"/>
      <c r="K140" s="205" t="s">
        <v>185</v>
      </c>
      <c r="P140" s="140"/>
    </row>
    <row r="141" spans="1:16" s="139" customFormat="1" x14ac:dyDescent="0.2">
      <c r="A141" s="134"/>
      <c r="B141" s="84" t="s">
        <v>75</v>
      </c>
      <c r="C141" s="37"/>
      <c r="D141" s="123"/>
      <c r="E141" s="124"/>
      <c r="F141" s="44" t="s">
        <v>19</v>
      </c>
      <c r="G141" s="46">
        <v>1</v>
      </c>
      <c r="H141" s="46">
        <f>SUM(H142:H146)</f>
        <v>0</v>
      </c>
      <c r="I141" s="44"/>
      <c r="J141" s="186">
        <f>G141*H141</f>
        <v>0</v>
      </c>
      <c r="K141" s="205" t="s">
        <v>185</v>
      </c>
      <c r="P141" s="140"/>
    </row>
    <row r="142" spans="1:16" s="139" customFormat="1" x14ac:dyDescent="0.2">
      <c r="A142" s="134"/>
      <c r="B142" s="168" t="s">
        <v>163</v>
      </c>
      <c r="C142" s="37"/>
      <c r="D142" s="123"/>
      <c r="E142" s="124"/>
      <c r="F142" s="44"/>
      <c r="G142" s="46"/>
      <c r="H142" s="171"/>
      <c r="I142" s="44"/>
      <c r="J142" s="186"/>
      <c r="K142" s="205" t="s">
        <v>185</v>
      </c>
      <c r="P142" s="140"/>
    </row>
    <row r="143" spans="1:16" s="139" customFormat="1" x14ac:dyDescent="0.2">
      <c r="A143" s="134"/>
      <c r="B143" s="169" t="s">
        <v>164</v>
      </c>
      <c r="C143" s="37"/>
      <c r="D143" s="123"/>
      <c r="E143" s="124"/>
      <c r="F143" s="44"/>
      <c r="G143" s="46"/>
      <c r="H143" s="171"/>
      <c r="I143" s="44"/>
      <c r="J143" s="186"/>
      <c r="K143" s="205" t="s">
        <v>185</v>
      </c>
      <c r="P143" s="140"/>
    </row>
    <row r="144" spans="1:16" s="139" customFormat="1" x14ac:dyDescent="0.2">
      <c r="A144" s="134"/>
      <c r="B144" s="168" t="s">
        <v>155</v>
      </c>
      <c r="C144" s="37"/>
      <c r="D144" s="123"/>
      <c r="E144" s="124"/>
      <c r="F144" s="44"/>
      <c r="G144" s="46"/>
      <c r="H144" s="171"/>
      <c r="I144" s="44"/>
      <c r="J144" s="186"/>
      <c r="K144" s="205" t="s">
        <v>185</v>
      </c>
      <c r="P144" s="140"/>
    </row>
    <row r="145" spans="1:16" s="139" customFormat="1" x14ac:dyDescent="0.2">
      <c r="A145" s="134"/>
      <c r="B145" s="168" t="s">
        <v>165</v>
      </c>
      <c r="C145" s="37"/>
      <c r="D145" s="123"/>
      <c r="E145" s="124"/>
      <c r="F145" s="44"/>
      <c r="G145" s="46"/>
      <c r="H145" s="171"/>
      <c r="I145" s="44"/>
      <c r="J145" s="186"/>
      <c r="K145" s="205" t="s">
        <v>185</v>
      </c>
      <c r="P145" s="140"/>
    </row>
    <row r="146" spans="1:16" s="139" customFormat="1" x14ac:dyDescent="0.2">
      <c r="A146" s="134"/>
      <c r="B146" s="168" t="s">
        <v>157</v>
      </c>
      <c r="C146" s="37"/>
      <c r="D146" s="123"/>
      <c r="E146" s="124"/>
      <c r="F146" s="44"/>
      <c r="G146" s="46"/>
      <c r="H146" s="171"/>
      <c r="I146" s="44"/>
      <c r="J146" s="186"/>
      <c r="K146" s="205" t="s">
        <v>185</v>
      </c>
      <c r="P146" s="140"/>
    </row>
    <row r="147" spans="1:16" x14ac:dyDescent="0.2">
      <c r="A147" s="42"/>
      <c r="B147" s="84" t="s">
        <v>77</v>
      </c>
      <c r="C147" s="37"/>
      <c r="D147" s="123"/>
      <c r="E147" s="124"/>
      <c r="F147" s="44" t="s">
        <v>19</v>
      </c>
      <c r="G147" s="46">
        <v>1</v>
      </c>
      <c r="H147" s="46">
        <f>SUM(H148:H152)</f>
        <v>0</v>
      </c>
      <c r="I147" s="44"/>
      <c r="J147" s="186">
        <f>G147*H147</f>
        <v>0</v>
      </c>
      <c r="K147" s="205" t="s">
        <v>185</v>
      </c>
      <c r="P147" s="125"/>
    </row>
    <row r="148" spans="1:16" s="29" customFormat="1" x14ac:dyDescent="0.2">
      <c r="A148" s="127"/>
      <c r="B148" s="126" t="s">
        <v>130</v>
      </c>
      <c r="C148" s="128"/>
      <c r="D148" s="129"/>
      <c r="E148" s="130"/>
      <c r="F148" s="131"/>
      <c r="G148" s="132"/>
      <c r="H148" s="132"/>
      <c r="I148" s="131"/>
      <c r="J148" s="192"/>
      <c r="K148" s="205" t="s">
        <v>185</v>
      </c>
      <c r="P148" s="133"/>
    </row>
    <row r="149" spans="1:16" s="29" customFormat="1" x14ac:dyDescent="0.2">
      <c r="A149" s="127"/>
      <c r="B149" s="126" t="s">
        <v>131</v>
      </c>
      <c r="C149" s="128"/>
      <c r="D149" s="129"/>
      <c r="E149" s="130"/>
      <c r="F149" s="131"/>
      <c r="G149" s="132"/>
      <c r="H149" s="132"/>
      <c r="I149" s="131"/>
      <c r="J149" s="192"/>
      <c r="K149" s="205" t="s">
        <v>185</v>
      </c>
      <c r="P149" s="133"/>
    </row>
    <row r="150" spans="1:16" s="29" customFormat="1" x14ac:dyDescent="0.2">
      <c r="A150" s="127"/>
      <c r="B150" s="126" t="s">
        <v>132</v>
      </c>
      <c r="C150" s="128"/>
      <c r="D150" s="129"/>
      <c r="E150" s="130"/>
      <c r="F150" s="131"/>
      <c r="G150" s="132"/>
      <c r="H150" s="132"/>
      <c r="I150" s="131"/>
      <c r="J150" s="192"/>
      <c r="K150" s="205" t="s">
        <v>185</v>
      </c>
      <c r="P150" s="133"/>
    </row>
    <row r="151" spans="1:16" s="29" customFormat="1" x14ac:dyDescent="0.2">
      <c r="A151" s="127"/>
      <c r="B151" s="126" t="s">
        <v>134</v>
      </c>
      <c r="C151" s="128"/>
      <c r="D151" s="129"/>
      <c r="E151" s="130"/>
      <c r="F151" s="131"/>
      <c r="G151" s="132"/>
      <c r="H151" s="132"/>
      <c r="I151" s="131"/>
      <c r="J151" s="192"/>
      <c r="K151" s="205" t="s">
        <v>185</v>
      </c>
      <c r="P151" s="133"/>
    </row>
    <row r="152" spans="1:16" s="29" customFormat="1" x14ac:dyDescent="0.2">
      <c r="A152" s="127"/>
      <c r="B152" s="126" t="s">
        <v>133</v>
      </c>
      <c r="C152" s="128"/>
      <c r="D152" s="129"/>
      <c r="E152" s="130"/>
      <c r="F152" s="131"/>
      <c r="G152" s="132"/>
      <c r="H152" s="132"/>
      <c r="I152" s="131"/>
      <c r="J152" s="192"/>
      <c r="K152" s="205" t="s">
        <v>185</v>
      </c>
      <c r="P152" s="133"/>
    </row>
    <row r="153" spans="1:16" x14ac:dyDescent="0.2">
      <c r="A153" s="42"/>
      <c r="B153" s="126"/>
      <c r="C153" s="128"/>
      <c r="D153" s="129"/>
      <c r="E153" s="130"/>
      <c r="F153" s="131"/>
      <c r="G153" s="132"/>
      <c r="H153" s="162"/>
      <c r="I153" s="131"/>
      <c r="J153" s="192"/>
      <c r="K153" s="205"/>
    </row>
    <row r="154" spans="1:16" s="99" customFormat="1" ht="15.75" x14ac:dyDescent="0.25">
      <c r="A154" s="92"/>
      <c r="B154" s="93"/>
      <c r="C154" s="94"/>
      <c r="D154" s="95"/>
      <c r="E154" s="96"/>
      <c r="F154" s="97"/>
      <c r="G154" s="98"/>
      <c r="H154" s="163"/>
      <c r="I154" s="97"/>
      <c r="J154" s="193"/>
      <c r="K154" s="205"/>
    </row>
    <row r="155" spans="1:16" x14ac:dyDescent="0.2">
      <c r="A155" s="42"/>
      <c r="B155" s="37"/>
      <c r="C155" s="37"/>
      <c r="D155" s="39"/>
      <c r="E155" s="40"/>
      <c r="F155" s="44"/>
      <c r="G155" s="46"/>
      <c r="H155" s="160"/>
      <c r="I155" s="44"/>
      <c r="J155" s="186"/>
      <c r="K155" s="205"/>
    </row>
    <row r="156" spans="1:16" s="99" customFormat="1" ht="15.75" x14ac:dyDescent="0.25">
      <c r="A156" s="92" t="s">
        <v>40</v>
      </c>
      <c r="B156" s="93" t="s">
        <v>76</v>
      </c>
      <c r="C156" s="94"/>
      <c r="D156" s="95"/>
      <c r="E156" s="96"/>
      <c r="F156" s="97"/>
      <c r="G156" s="98"/>
      <c r="H156" s="163"/>
      <c r="I156" s="97"/>
      <c r="J156" s="194">
        <f>SUM(J157:J163)</f>
        <v>0</v>
      </c>
      <c r="K156" s="205" t="s">
        <v>185</v>
      </c>
    </row>
    <row r="157" spans="1:16" x14ac:dyDescent="0.2">
      <c r="A157" s="42"/>
      <c r="B157" s="37" t="s">
        <v>138</v>
      </c>
      <c r="C157" s="37"/>
      <c r="D157" s="123"/>
      <c r="E157" s="124"/>
      <c r="F157" s="44" t="s">
        <v>18</v>
      </c>
      <c r="G157" s="46">
        <f>5*2.3</f>
        <v>11.5</v>
      </c>
      <c r="H157" s="46"/>
      <c r="I157" s="44"/>
      <c r="J157" s="186">
        <f t="shared" ref="J157:J162" si="39">G157*H157</f>
        <v>0</v>
      </c>
      <c r="K157" s="205" t="s">
        <v>185</v>
      </c>
    </row>
    <row r="158" spans="1:16" x14ac:dyDescent="0.2">
      <c r="A158" s="42"/>
      <c r="B158" s="37" t="s">
        <v>110</v>
      </c>
      <c r="C158" s="37"/>
      <c r="D158" s="39"/>
      <c r="E158" s="40"/>
      <c r="F158" s="44" t="s">
        <v>17</v>
      </c>
      <c r="G158" s="46">
        <f>0.5*0.6*9.2</f>
        <v>2.76</v>
      </c>
      <c r="H158" s="46"/>
      <c r="I158" s="44"/>
      <c r="J158" s="186">
        <f t="shared" si="39"/>
        <v>0</v>
      </c>
      <c r="K158" s="205" t="s">
        <v>185</v>
      </c>
    </row>
    <row r="159" spans="1:16" x14ac:dyDescent="0.2">
      <c r="A159" s="24"/>
      <c r="B159" s="37" t="s">
        <v>125</v>
      </c>
      <c r="C159" s="37"/>
      <c r="D159" s="123"/>
      <c r="E159" s="124"/>
      <c r="F159" s="44" t="s">
        <v>22</v>
      </c>
      <c r="G159" s="46">
        <v>2</v>
      </c>
      <c r="H159" s="46"/>
      <c r="I159" s="44"/>
      <c r="J159" s="186">
        <f t="shared" si="39"/>
        <v>0</v>
      </c>
      <c r="K159" s="205" t="s">
        <v>185</v>
      </c>
    </row>
    <row r="160" spans="1:16" x14ac:dyDescent="0.2">
      <c r="A160" s="24"/>
      <c r="B160" s="37" t="s">
        <v>126</v>
      </c>
      <c r="C160" s="37"/>
      <c r="D160" s="123"/>
      <c r="E160" s="124"/>
      <c r="F160" s="44" t="s">
        <v>20</v>
      </c>
      <c r="G160" s="46">
        <v>9.1999999999999993</v>
      </c>
      <c r="H160" s="46"/>
      <c r="I160" s="44"/>
      <c r="J160" s="186">
        <f t="shared" si="39"/>
        <v>0</v>
      </c>
      <c r="K160" s="205" t="s">
        <v>185</v>
      </c>
    </row>
    <row r="161" spans="1:11" x14ac:dyDescent="0.2">
      <c r="A161" s="24"/>
      <c r="B161" s="37" t="s">
        <v>127</v>
      </c>
      <c r="C161" s="37"/>
      <c r="D161" s="39"/>
      <c r="E161" s="40"/>
      <c r="F161" s="44" t="s">
        <v>20</v>
      </c>
      <c r="G161" s="46">
        <v>9.1999999999999993</v>
      </c>
      <c r="H161" s="46"/>
      <c r="I161" s="44"/>
      <c r="J161" s="186">
        <f t="shared" si="39"/>
        <v>0</v>
      </c>
      <c r="K161" s="205" t="s">
        <v>185</v>
      </c>
    </row>
    <row r="162" spans="1:11" x14ac:dyDescent="0.2">
      <c r="A162" s="24"/>
      <c r="B162" s="37" t="s">
        <v>123</v>
      </c>
      <c r="C162" s="37"/>
      <c r="D162" s="123"/>
      <c r="E162" s="124"/>
      <c r="F162" s="44" t="s">
        <v>22</v>
      </c>
      <c r="G162" s="46">
        <v>8</v>
      </c>
      <c r="H162" s="46"/>
      <c r="I162" s="44"/>
      <c r="J162" s="186">
        <f t="shared" si="39"/>
        <v>0</v>
      </c>
      <c r="K162" s="205" t="s">
        <v>185</v>
      </c>
    </row>
    <row r="163" spans="1:11" x14ac:dyDescent="0.2">
      <c r="A163" s="24"/>
      <c r="B163" s="37"/>
      <c r="C163" s="37"/>
      <c r="D163" s="166"/>
      <c r="E163" s="167"/>
      <c r="F163" s="44"/>
      <c r="G163" s="46"/>
      <c r="H163" s="46"/>
      <c r="I163" s="44"/>
      <c r="J163" s="186"/>
      <c r="K163" s="205"/>
    </row>
    <row r="164" spans="1:11" s="15" customFormat="1" x14ac:dyDescent="0.2">
      <c r="A164" s="16" t="s">
        <v>23</v>
      </c>
      <c r="B164" s="17" t="s">
        <v>38</v>
      </c>
      <c r="C164" s="17"/>
      <c r="D164" s="18"/>
      <c r="E164" s="48"/>
      <c r="F164" s="49"/>
      <c r="G164" s="49"/>
      <c r="H164" s="164"/>
      <c r="I164" s="49"/>
      <c r="J164" s="195">
        <f>SUM(H165:H167)</f>
        <v>0</v>
      </c>
      <c r="K164" s="205"/>
    </row>
    <row r="165" spans="1:11" x14ac:dyDescent="0.2">
      <c r="A165" s="19"/>
      <c r="B165" s="3" t="s">
        <v>139</v>
      </c>
      <c r="D165" s="21"/>
      <c r="F165" s="51"/>
      <c r="G165" s="51"/>
      <c r="H165" s="52">
        <f>PRODUCT(J10+J16,0.005)</f>
        <v>0</v>
      </c>
      <c r="I165" s="51"/>
      <c r="J165" s="196"/>
      <c r="K165" s="205" t="s">
        <v>185</v>
      </c>
    </row>
    <row r="166" spans="1:11" x14ac:dyDescent="0.2">
      <c r="A166" s="19"/>
      <c r="B166" s="3" t="s">
        <v>150</v>
      </c>
      <c r="D166" s="21"/>
      <c r="F166" s="51"/>
      <c r="G166" s="51"/>
      <c r="H166" s="52">
        <f>PRODUCT(J10+J16,0.01)</f>
        <v>0</v>
      </c>
      <c r="I166" s="51"/>
      <c r="J166" s="196"/>
      <c r="K166" s="205" t="s">
        <v>185</v>
      </c>
    </row>
    <row r="167" spans="1:11" x14ac:dyDescent="0.2">
      <c r="A167" s="19"/>
      <c r="B167" s="3" t="s">
        <v>151</v>
      </c>
      <c r="D167" s="21"/>
      <c r="F167" s="51"/>
      <c r="G167" s="51"/>
      <c r="H167" s="52">
        <f>PRODUCT(J10+J16,0.005)</f>
        <v>0</v>
      </c>
      <c r="I167" s="51"/>
      <c r="J167" s="196"/>
      <c r="K167" s="205" t="s">
        <v>185</v>
      </c>
    </row>
    <row r="168" spans="1:11" x14ac:dyDescent="0.2">
      <c r="A168" s="19"/>
      <c r="D168" s="21"/>
      <c r="F168" s="51"/>
      <c r="G168" s="51"/>
      <c r="H168" s="165"/>
      <c r="I168" s="51"/>
      <c r="J168" s="196"/>
      <c r="K168" s="205"/>
    </row>
    <row r="169" spans="1:11" s="15" customFormat="1" x14ac:dyDescent="0.2">
      <c r="A169" s="16" t="s">
        <v>24</v>
      </c>
      <c r="B169" s="17" t="s">
        <v>25</v>
      </c>
      <c r="C169" s="17"/>
      <c r="D169" s="18"/>
      <c r="E169" s="48"/>
      <c r="F169" s="49"/>
      <c r="G169" s="49"/>
      <c r="H169" s="164"/>
      <c r="I169" s="49"/>
      <c r="J169" s="195">
        <f>SUM(H170:H171)</f>
        <v>0</v>
      </c>
      <c r="K169" s="205" t="s">
        <v>185</v>
      </c>
    </row>
    <row r="170" spans="1:11" x14ac:dyDescent="0.2">
      <c r="A170" s="53"/>
      <c r="B170" s="3" t="s">
        <v>26</v>
      </c>
      <c r="C170" s="15"/>
      <c r="D170" s="54"/>
      <c r="F170" s="51"/>
      <c r="G170" s="51"/>
      <c r="H170" s="52"/>
      <c r="I170" s="51"/>
      <c r="J170" s="197"/>
      <c r="K170" s="205" t="s">
        <v>185</v>
      </c>
    </row>
    <row r="171" spans="1:11" x14ac:dyDescent="0.2">
      <c r="A171" s="53"/>
      <c r="B171" s="3" t="s">
        <v>78</v>
      </c>
      <c r="C171" s="15"/>
      <c r="D171" s="54"/>
      <c r="F171" s="51"/>
      <c r="G171" s="51"/>
      <c r="H171" s="52"/>
      <c r="I171" s="51"/>
      <c r="J171" s="197"/>
      <c r="K171" s="205" t="s">
        <v>185</v>
      </c>
    </row>
    <row r="172" spans="1:11" x14ac:dyDescent="0.2">
      <c r="A172" s="19"/>
      <c r="D172" s="21"/>
      <c r="F172" s="51"/>
      <c r="G172" s="51"/>
      <c r="H172" s="165"/>
      <c r="I172" s="51"/>
      <c r="J172" s="197"/>
      <c r="K172" s="205"/>
    </row>
    <row r="173" spans="1:11" s="15" customFormat="1" x14ac:dyDescent="0.2">
      <c r="A173" s="16" t="s">
        <v>27</v>
      </c>
      <c r="B173" s="17" t="s">
        <v>28</v>
      </c>
      <c r="C173" s="17"/>
      <c r="D173" s="14"/>
      <c r="E173" s="13"/>
      <c r="F173" s="49"/>
      <c r="G173" s="49"/>
      <c r="H173" s="164"/>
      <c r="I173" s="55"/>
      <c r="J173" s="195">
        <f>SUM(H174)</f>
        <v>0</v>
      </c>
      <c r="K173" s="205"/>
    </row>
    <row r="174" spans="1:11" x14ac:dyDescent="0.2">
      <c r="A174" s="19"/>
      <c r="B174" s="3" t="s">
        <v>181</v>
      </c>
      <c r="D174" s="56">
        <v>0.1</v>
      </c>
      <c r="E174" s="21"/>
      <c r="F174" s="51"/>
      <c r="G174" s="51"/>
      <c r="H174" s="52"/>
      <c r="I174" s="57"/>
      <c r="J174" s="196"/>
      <c r="K174" s="205" t="s">
        <v>185</v>
      </c>
    </row>
    <row r="175" spans="1:11" x14ac:dyDescent="0.2">
      <c r="A175" s="19"/>
      <c r="D175" s="56"/>
      <c r="E175" s="21"/>
      <c r="F175" s="51"/>
      <c r="G175" s="51"/>
      <c r="H175" s="165"/>
      <c r="I175" s="57"/>
      <c r="J175" s="196"/>
      <c r="K175" s="205"/>
    </row>
    <row r="176" spans="1:11" s="15" customFormat="1" x14ac:dyDescent="0.2">
      <c r="A176" s="16" t="s">
        <v>29</v>
      </c>
      <c r="B176" s="17" t="s">
        <v>30</v>
      </c>
      <c r="C176" s="17"/>
      <c r="D176" s="18"/>
      <c r="E176" s="48"/>
      <c r="F176" s="49"/>
      <c r="G176" s="49"/>
      <c r="H176" s="164"/>
      <c r="I176" s="55"/>
      <c r="J176" s="195">
        <f>SUM(H177)</f>
        <v>0</v>
      </c>
      <c r="K176" s="205" t="s">
        <v>185</v>
      </c>
    </row>
    <row r="177" spans="1:16" x14ac:dyDescent="0.2">
      <c r="A177" s="53"/>
      <c r="B177" s="3" t="s">
        <v>31</v>
      </c>
      <c r="D177" s="21"/>
      <c r="F177" s="51"/>
      <c r="G177" s="51"/>
      <c r="H177" s="52"/>
      <c r="I177" s="57"/>
      <c r="J177" s="196"/>
      <c r="K177" s="205"/>
    </row>
    <row r="178" spans="1:16" x14ac:dyDescent="0.2">
      <c r="A178" s="53"/>
      <c r="D178" s="21"/>
      <c r="F178" s="51"/>
      <c r="G178" s="51"/>
      <c r="H178" s="165"/>
      <c r="I178" s="57"/>
      <c r="J178" s="196"/>
      <c r="K178" s="205"/>
    </row>
    <row r="179" spans="1:16" s="15" customFormat="1" x14ac:dyDescent="0.2">
      <c r="A179" s="58" t="s">
        <v>32</v>
      </c>
      <c r="B179" s="17" t="s">
        <v>33</v>
      </c>
      <c r="C179" s="59"/>
      <c r="D179" s="14"/>
      <c r="E179" s="14"/>
      <c r="F179" s="49"/>
      <c r="G179" s="49"/>
      <c r="H179" s="50"/>
      <c r="I179" s="60"/>
      <c r="J179" s="198">
        <f>SUM(J6,J10,J16,J164,J169,J176,J173)</f>
        <v>0</v>
      </c>
      <c r="K179" s="205"/>
    </row>
    <row r="180" spans="1:16" x14ac:dyDescent="0.2">
      <c r="A180" s="61"/>
      <c r="B180" s="62"/>
      <c r="C180" s="62"/>
      <c r="D180" s="21"/>
      <c r="E180" s="21"/>
      <c r="F180" s="63"/>
      <c r="G180" s="63"/>
      <c r="H180" s="65"/>
      <c r="I180" s="64"/>
      <c r="J180" s="199"/>
      <c r="K180" s="205"/>
    </row>
    <row r="181" spans="1:16" s="15" customFormat="1" x14ac:dyDescent="0.2">
      <c r="A181" s="16" t="s">
        <v>34</v>
      </c>
      <c r="B181" s="17" t="s">
        <v>35</v>
      </c>
      <c r="C181" s="17"/>
      <c r="D181" s="18"/>
      <c r="E181" s="18">
        <v>0.2</v>
      </c>
      <c r="F181" s="49"/>
      <c r="G181" s="49"/>
      <c r="H181" s="50"/>
      <c r="I181" s="157">
        <v>0.21</v>
      </c>
      <c r="J181" s="195">
        <f>J179*0.21</f>
        <v>0</v>
      </c>
      <c r="K181" s="205"/>
    </row>
    <row r="182" spans="1:16" x14ac:dyDescent="0.2">
      <c r="A182" s="19"/>
      <c r="D182" s="21"/>
      <c r="E182" s="21"/>
      <c r="F182" s="66"/>
      <c r="G182" s="66"/>
      <c r="H182" s="151"/>
      <c r="I182" s="67"/>
      <c r="J182" s="196"/>
      <c r="K182" s="205"/>
    </row>
    <row r="183" spans="1:16" s="15" customFormat="1" x14ac:dyDescent="0.2">
      <c r="A183" s="68" t="s">
        <v>36</v>
      </c>
      <c r="B183" s="69" t="s">
        <v>37</v>
      </c>
      <c r="C183" s="69"/>
      <c r="D183" s="70"/>
      <c r="E183" s="70"/>
      <c r="F183" s="71"/>
      <c r="G183" s="71"/>
      <c r="H183" s="73"/>
      <c r="I183" s="72"/>
      <c r="J183" s="200">
        <f>SUM(J179:J182)</f>
        <v>0</v>
      </c>
      <c r="K183" s="205"/>
    </row>
    <row r="184" spans="1:16" x14ac:dyDescent="0.2">
      <c r="D184" s="21"/>
      <c r="E184" s="21"/>
      <c r="F184" s="74"/>
      <c r="G184" s="74"/>
      <c r="H184" s="152"/>
      <c r="I184" s="74"/>
      <c r="K184" s="46"/>
    </row>
    <row r="185" spans="1:16" x14ac:dyDescent="0.2">
      <c r="A185" s="3" t="s">
        <v>148</v>
      </c>
      <c r="D185" s="21"/>
      <c r="E185" s="21"/>
      <c r="F185" s="74"/>
      <c r="G185" s="74"/>
      <c r="H185" s="152"/>
      <c r="I185" s="74"/>
      <c r="K185" s="46"/>
    </row>
    <row r="186" spans="1:16" x14ac:dyDescent="0.2">
      <c r="A186" s="3" t="s">
        <v>65</v>
      </c>
      <c r="D186" s="21"/>
      <c r="E186" s="21"/>
      <c r="F186" s="153"/>
      <c r="G186" s="153"/>
      <c r="H186" s="154"/>
      <c r="I186" s="153"/>
      <c r="K186" s="46"/>
      <c r="P186" s="125"/>
    </row>
    <row r="187" spans="1:16" x14ac:dyDescent="0.2">
      <c r="D187" s="21"/>
      <c r="E187" s="21"/>
      <c r="F187" s="74"/>
      <c r="G187" s="74"/>
      <c r="H187" s="152"/>
      <c r="I187" s="74"/>
    </row>
    <row r="188" spans="1:16" x14ac:dyDescent="0.2">
      <c r="A188" s="76"/>
      <c r="C188" s="77"/>
    </row>
  </sheetData>
  <phoneticPr fontId="16" type="noConversion"/>
  <pageMargins left="0.47222222222222199" right="0.196527777777778" top="0.39305555555555599" bottom="0.39374999999999999" header="0.23611111111111099" footer="0.51180555555555496"/>
  <pageSetup paperSize="9" firstPageNumber="0" orientation="portrait" horizontalDpi="4294967293" verticalDpi="4294967293" r:id="rId1"/>
  <headerFooter>
    <oddHeader>&amp;R&amp;9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9"/>
  <sheetViews>
    <sheetView workbookViewId="0">
      <selection activeCell="C8" sqref="C8:C9"/>
    </sheetView>
  </sheetViews>
  <sheetFormatPr defaultRowHeight="12.75" x14ac:dyDescent="0.2"/>
  <sheetData>
    <row r="5" spans="1:3" x14ac:dyDescent="0.2">
      <c r="B5" t="s">
        <v>178</v>
      </c>
    </row>
    <row r="7" spans="1:3" x14ac:dyDescent="0.2">
      <c r="B7">
        <f>1.2*1.5*14+1.2*0.9*5+1.2*1.6*9+1.2*1.5*2</f>
        <v>51.48</v>
      </c>
      <c r="C7">
        <f>(1.2+1.5*2)*0.5*14+(1.2+0.9*2)*0.55*5+(1.2+1.6*2)*0.55*9+(1.2+1.5*2)*0.55*2</f>
        <v>64.050000000000011</v>
      </c>
    </row>
    <row r="8" spans="1:3" x14ac:dyDescent="0.2">
      <c r="A8" t="s">
        <v>179</v>
      </c>
      <c r="B8">
        <f>1.2*0.3*14+1.2*0.3*9+1.2*0.2*2</f>
        <v>8.76</v>
      </c>
      <c r="C8">
        <f>(0.3*2)*0.5*14+(0.3*2)*0.55*9+(0.2*2)*0.55*2</f>
        <v>7.61</v>
      </c>
    </row>
    <row r="9" spans="1:3" x14ac:dyDescent="0.2">
      <c r="A9" t="s">
        <v>180</v>
      </c>
      <c r="B9">
        <f>1.2*1.2*14+1.2*0.9*5+1.2*1.3*9+1.2*1.3*2</f>
        <v>42.72</v>
      </c>
      <c r="C9">
        <f>(1.2+1.2*2)*0.5*14+(1.2+0.9*2)*0.55*5+(1.2+1.3*2)*0.55*9+(1.2+1.3*2)*0.55*2</f>
        <v>56.439999999999991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stavba</vt:lpstr>
      <vt:lpstr>List1</vt:lpstr>
    </vt:vector>
  </TitlesOfParts>
  <Company>Formica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Hrnčiřík</dc:creator>
  <cp:lastModifiedBy>Michaela Lacková</cp:lastModifiedBy>
  <cp:revision>1</cp:revision>
  <cp:lastPrinted>2020-06-01T08:33:05Z</cp:lastPrinted>
  <dcterms:created xsi:type="dcterms:W3CDTF">2001-03-27T06:40:02Z</dcterms:created>
  <dcterms:modified xsi:type="dcterms:W3CDTF">2023-02-09T12:16:33Z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Formica s.r.o.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