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rumlova_yveta_kr-jihomoravsky_cz/Documents/JIC - RENOSTRUKCE STŘECHY/STAVBA/ZAHÁJENÍ II/"/>
    </mc:Choice>
  </mc:AlternateContent>
  <xr:revisionPtr revIDLastSave="1" documentId="8_{79D2E1BF-BF2C-42B9-88C9-AF3855A701AC}" xr6:coauthVersionLast="47" xr6:coauthVersionMax="47" xr10:uidLastSave="{166559E5-AB6E-47D6-9E54-FA5F6858D398}"/>
  <bookViews>
    <workbookView xWindow="-108" yWindow="-108" windowWidth="23256" windowHeight="12276" activeTab="2" xr2:uid="{00000000-000D-0000-FFFF-FFFF00000000}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162" i="3" l="1"/>
  <c r="AH162" i="3" s="1"/>
  <c r="BF162" i="3"/>
  <c r="BD162" i="3"/>
  <c r="AX162" i="3"/>
  <c r="AP162" i="3"/>
  <c r="BI162" i="3" s="1"/>
  <c r="AO162" i="3"/>
  <c r="BH162" i="3" s="1"/>
  <c r="AK162" i="3"/>
  <c r="AJ162" i="3"/>
  <c r="AG162" i="3"/>
  <c r="AF162" i="3"/>
  <c r="AE162" i="3"/>
  <c r="AD162" i="3"/>
  <c r="AC162" i="3"/>
  <c r="AB162" i="3"/>
  <c r="Z162" i="3"/>
  <c r="I162" i="3"/>
  <c r="AL162" i="3" s="1"/>
  <c r="AU161" i="3" s="1"/>
  <c r="AT161" i="3"/>
  <c r="AS161" i="3"/>
  <c r="I161" i="3"/>
  <c r="BJ160" i="3"/>
  <c r="BI160" i="3"/>
  <c r="AG160" i="3" s="1"/>
  <c r="BH160" i="3"/>
  <c r="AF160" i="3" s="1"/>
  <c r="BF160" i="3"/>
  <c r="BD160" i="3"/>
  <c r="AW160" i="3"/>
  <c r="BC160" i="3" s="1"/>
  <c r="AV160" i="3"/>
  <c r="AP160" i="3"/>
  <c r="AX160" i="3" s="1"/>
  <c r="AO160" i="3"/>
  <c r="AL160" i="3"/>
  <c r="AK160" i="3"/>
  <c r="AT159" i="3" s="1"/>
  <c r="AJ160" i="3"/>
  <c r="AS159" i="3" s="1"/>
  <c r="AH160" i="3"/>
  <c r="AE160" i="3"/>
  <c r="AD160" i="3"/>
  <c r="AC160" i="3"/>
  <c r="AB160" i="3"/>
  <c r="Z160" i="3"/>
  <c r="I160" i="3"/>
  <c r="AU159" i="3"/>
  <c r="I159" i="3"/>
  <c r="BJ158" i="3"/>
  <c r="BI158" i="3"/>
  <c r="BH158" i="3"/>
  <c r="AD158" i="3" s="1"/>
  <c r="BF158" i="3"/>
  <c r="BD158" i="3"/>
  <c r="AX158" i="3"/>
  <c r="AW158" i="3"/>
  <c r="BC158" i="3" s="1"/>
  <c r="AP158" i="3"/>
  <c r="AO158" i="3"/>
  <c r="AK158" i="3"/>
  <c r="AJ158" i="3"/>
  <c r="AH158" i="3"/>
  <c r="AG158" i="3"/>
  <c r="AF158" i="3"/>
  <c r="AE158" i="3"/>
  <c r="AC158" i="3"/>
  <c r="AB158" i="3"/>
  <c r="Z158" i="3"/>
  <c r="I158" i="3"/>
  <c r="AL158" i="3" s="1"/>
  <c r="BJ157" i="3"/>
  <c r="BI157" i="3"/>
  <c r="BF157" i="3"/>
  <c r="BD157" i="3"/>
  <c r="AX157" i="3"/>
  <c r="AP157" i="3"/>
  <c r="AO157" i="3"/>
  <c r="AL157" i="3"/>
  <c r="AK157" i="3"/>
  <c r="AJ157" i="3"/>
  <c r="AH157" i="3"/>
  <c r="AG157" i="3"/>
  <c r="AF157" i="3"/>
  <c r="AE157" i="3"/>
  <c r="AC157" i="3"/>
  <c r="AB157" i="3"/>
  <c r="Z157" i="3"/>
  <c r="I157" i="3"/>
  <c r="BJ156" i="3"/>
  <c r="BF156" i="3"/>
  <c r="BD156" i="3"/>
  <c r="AX156" i="3"/>
  <c r="AP156" i="3"/>
  <c r="BI156" i="3" s="1"/>
  <c r="AE156" i="3" s="1"/>
  <c r="AO156" i="3"/>
  <c r="AK156" i="3"/>
  <c r="AJ156" i="3"/>
  <c r="AH156" i="3"/>
  <c r="AG156" i="3"/>
  <c r="AF156" i="3"/>
  <c r="AC156" i="3"/>
  <c r="AB156" i="3"/>
  <c r="Z156" i="3"/>
  <c r="I156" i="3"/>
  <c r="AL156" i="3" s="1"/>
  <c r="BJ155" i="3"/>
  <c r="BI155" i="3"/>
  <c r="AE155" i="3" s="1"/>
  <c r="BH155" i="3"/>
  <c r="AD155" i="3" s="1"/>
  <c r="BF155" i="3"/>
  <c r="BD155" i="3"/>
  <c r="AW155" i="3"/>
  <c r="AP155" i="3"/>
  <c r="AX155" i="3" s="1"/>
  <c r="AV155" i="3" s="1"/>
  <c r="AO155" i="3"/>
  <c r="AL155" i="3"/>
  <c r="AK155" i="3"/>
  <c r="AJ155" i="3"/>
  <c r="AH155" i="3"/>
  <c r="AG155" i="3"/>
  <c r="AF155" i="3"/>
  <c r="AC155" i="3"/>
  <c r="AB155" i="3"/>
  <c r="Z155" i="3"/>
  <c r="I155" i="3"/>
  <c r="BJ154" i="3"/>
  <c r="BI154" i="3"/>
  <c r="AE154" i="3" s="1"/>
  <c r="BF154" i="3"/>
  <c r="BD154" i="3"/>
  <c r="AX154" i="3"/>
  <c r="AW154" i="3"/>
  <c r="BC154" i="3" s="1"/>
  <c r="AP154" i="3"/>
  <c r="AO154" i="3"/>
  <c r="BH154" i="3" s="1"/>
  <c r="AD154" i="3" s="1"/>
  <c r="AK154" i="3"/>
  <c r="AJ154" i="3"/>
  <c r="AH154" i="3"/>
  <c r="AG154" i="3"/>
  <c r="AF154" i="3"/>
  <c r="AC154" i="3"/>
  <c r="AB154" i="3"/>
  <c r="Z154" i="3"/>
  <c r="I154" i="3"/>
  <c r="AL154" i="3" s="1"/>
  <c r="BJ152" i="3"/>
  <c r="BI152" i="3"/>
  <c r="AE152" i="3" s="1"/>
  <c r="BF152" i="3"/>
  <c r="BD152" i="3"/>
  <c r="AP152" i="3"/>
  <c r="AX152" i="3" s="1"/>
  <c r="AO152" i="3"/>
  <c r="AK152" i="3"/>
  <c r="AJ152" i="3"/>
  <c r="AH152" i="3"/>
  <c r="AG152" i="3"/>
  <c r="AF152" i="3"/>
  <c r="AC152" i="3"/>
  <c r="AB152" i="3"/>
  <c r="Z152" i="3"/>
  <c r="I152" i="3"/>
  <c r="AL152" i="3" s="1"/>
  <c r="BJ150" i="3"/>
  <c r="BH150" i="3"/>
  <c r="AD150" i="3" s="1"/>
  <c r="BF150" i="3"/>
  <c r="BD150" i="3"/>
  <c r="AP150" i="3"/>
  <c r="AO150" i="3"/>
  <c r="AW150" i="3" s="1"/>
  <c r="AK150" i="3"/>
  <c r="AT149" i="3" s="1"/>
  <c r="AJ150" i="3"/>
  <c r="AS149" i="3" s="1"/>
  <c r="AH150" i="3"/>
  <c r="AG150" i="3"/>
  <c r="AF150" i="3"/>
  <c r="AC150" i="3"/>
  <c r="AB150" i="3"/>
  <c r="Z150" i="3"/>
  <c r="I150" i="3"/>
  <c r="AL150" i="3" s="1"/>
  <c r="BJ148" i="3"/>
  <c r="BI148" i="3"/>
  <c r="BH148" i="3"/>
  <c r="AB148" i="3" s="1"/>
  <c r="BF148" i="3"/>
  <c r="BD148" i="3"/>
  <c r="AW148" i="3"/>
  <c r="BC148" i="3" s="1"/>
  <c r="AV148" i="3"/>
  <c r="AP148" i="3"/>
  <c r="AX148" i="3" s="1"/>
  <c r="AO148" i="3"/>
  <c r="AL148" i="3"/>
  <c r="AK148" i="3"/>
  <c r="AT147" i="3" s="1"/>
  <c r="AJ148" i="3"/>
  <c r="AS147" i="3" s="1"/>
  <c r="AH148" i="3"/>
  <c r="AG148" i="3"/>
  <c r="AF148" i="3"/>
  <c r="AE148" i="3"/>
  <c r="AD148" i="3"/>
  <c r="AC148" i="3"/>
  <c r="Z148" i="3"/>
  <c r="I148" i="3"/>
  <c r="AU147" i="3"/>
  <c r="I147" i="3"/>
  <c r="BJ145" i="3"/>
  <c r="BI145" i="3"/>
  <c r="AE145" i="3" s="1"/>
  <c r="BH145" i="3"/>
  <c r="AD145" i="3" s="1"/>
  <c r="BF145" i="3"/>
  <c r="BD145" i="3"/>
  <c r="AX145" i="3"/>
  <c r="AW145" i="3"/>
  <c r="AP145" i="3"/>
  <c r="AO145" i="3"/>
  <c r="AL145" i="3"/>
  <c r="AK145" i="3"/>
  <c r="AT144" i="3" s="1"/>
  <c r="AJ145" i="3"/>
  <c r="AH145" i="3"/>
  <c r="AG145" i="3"/>
  <c r="AF145" i="3"/>
  <c r="AC145" i="3"/>
  <c r="AB145" i="3"/>
  <c r="Z145" i="3"/>
  <c r="I145" i="3"/>
  <c r="I144" i="3" s="1"/>
  <c r="AU144" i="3"/>
  <c r="AS144" i="3"/>
  <c r="I143" i="3"/>
  <c r="BJ142" i="3"/>
  <c r="AH142" i="3" s="1"/>
  <c r="BF142" i="3"/>
  <c r="BD142" i="3"/>
  <c r="AW142" i="3"/>
  <c r="AP142" i="3"/>
  <c r="BI142" i="3" s="1"/>
  <c r="AO142" i="3"/>
  <c r="BH142" i="3" s="1"/>
  <c r="AL142" i="3"/>
  <c r="AK142" i="3"/>
  <c r="AJ142" i="3"/>
  <c r="AG142" i="3"/>
  <c r="AF142" i="3"/>
  <c r="AE142" i="3"/>
  <c r="AD142" i="3"/>
  <c r="AC142" i="3"/>
  <c r="AB142" i="3"/>
  <c r="Z142" i="3"/>
  <c r="I142" i="3"/>
  <c r="BJ141" i="3"/>
  <c r="AH141" i="3" s="1"/>
  <c r="BH141" i="3"/>
  <c r="BF141" i="3"/>
  <c r="BD141" i="3"/>
  <c r="AW141" i="3"/>
  <c r="AP141" i="3"/>
  <c r="AO141" i="3"/>
  <c r="AK141" i="3"/>
  <c r="AJ141" i="3"/>
  <c r="AG141" i="3"/>
  <c r="AF141" i="3"/>
  <c r="AE141" i="3"/>
  <c r="AD141" i="3"/>
  <c r="AC141" i="3"/>
  <c r="AB141" i="3"/>
  <c r="Z141" i="3"/>
  <c r="I141" i="3"/>
  <c r="I140" i="3" s="1"/>
  <c r="AT140" i="3"/>
  <c r="AS140" i="3"/>
  <c r="BJ139" i="3"/>
  <c r="BH139" i="3"/>
  <c r="AF139" i="3" s="1"/>
  <c r="BF139" i="3"/>
  <c r="BD139" i="3"/>
  <c r="AW139" i="3"/>
  <c r="AP139" i="3"/>
  <c r="AO139" i="3"/>
  <c r="AK139" i="3"/>
  <c r="AJ139" i="3"/>
  <c r="AH139" i="3"/>
  <c r="AE139" i="3"/>
  <c r="AD139" i="3"/>
  <c r="AC139" i="3"/>
  <c r="AB139" i="3"/>
  <c r="Z139" i="3"/>
  <c r="I139" i="3"/>
  <c r="AL139" i="3" s="1"/>
  <c r="BJ138" i="3"/>
  <c r="BI138" i="3"/>
  <c r="AG138" i="3" s="1"/>
  <c r="BH138" i="3"/>
  <c r="BF138" i="3"/>
  <c r="BD138" i="3"/>
  <c r="AX138" i="3"/>
  <c r="AW138" i="3"/>
  <c r="AP138" i="3"/>
  <c r="AO138" i="3"/>
  <c r="AL138" i="3"/>
  <c r="AK138" i="3"/>
  <c r="AJ138" i="3"/>
  <c r="AS134" i="3" s="1"/>
  <c r="AH138" i="3"/>
  <c r="AF138" i="3"/>
  <c r="AE138" i="3"/>
  <c r="AD138" i="3"/>
  <c r="AC138" i="3"/>
  <c r="AB138" i="3"/>
  <c r="Z138" i="3"/>
  <c r="I138" i="3"/>
  <c r="BJ137" i="3"/>
  <c r="BF137" i="3"/>
  <c r="BD137" i="3"/>
  <c r="AX137" i="3"/>
  <c r="AP137" i="3"/>
  <c r="BI137" i="3" s="1"/>
  <c r="AO137" i="3"/>
  <c r="BH137" i="3" s="1"/>
  <c r="AF137" i="3" s="1"/>
  <c r="AL137" i="3"/>
  <c r="AK137" i="3"/>
  <c r="AJ137" i="3"/>
  <c r="AH137" i="3"/>
  <c r="AG137" i="3"/>
  <c r="AE137" i="3"/>
  <c r="AD137" i="3"/>
  <c r="AC137" i="3"/>
  <c r="AB137" i="3"/>
  <c r="Z137" i="3"/>
  <c r="I137" i="3"/>
  <c r="BJ136" i="3"/>
  <c r="BH136" i="3"/>
  <c r="AF136" i="3" s="1"/>
  <c r="BF136" i="3"/>
  <c r="BD136" i="3"/>
  <c r="AW136" i="3"/>
  <c r="AP136" i="3"/>
  <c r="AO136" i="3"/>
  <c r="AK136" i="3"/>
  <c r="AJ136" i="3"/>
  <c r="AH136" i="3"/>
  <c r="AE136" i="3"/>
  <c r="AD136" i="3"/>
  <c r="AC136" i="3"/>
  <c r="AB136" i="3"/>
  <c r="Z136" i="3"/>
  <c r="I136" i="3"/>
  <c r="AL136" i="3" s="1"/>
  <c r="BJ135" i="3"/>
  <c r="BI135" i="3"/>
  <c r="AG135" i="3" s="1"/>
  <c r="BH135" i="3"/>
  <c r="AF135" i="3" s="1"/>
  <c r="BF135" i="3"/>
  <c r="BD135" i="3"/>
  <c r="AX135" i="3"/>
  <c r="AW135" i="3"/>
  <c r="AP135" i="3"/>
  <c r="AO135" i="3"/>
  <c r="AK135" i="3"/>
  <c r="AJ135" i="3"/>
  <c r="AH135" i="3"/>
  <c r="AE135" i="3"/>
  <c r="AD135" i="3"/>
  <c r="AC135" i="3"/>
  <c r="AB135" i="3"/>
  <c r="Z135" i="3"/>
  <c r="I135" i="3"/>
  <c r="I134" i="3" s="1"/>
  <c r="AT134" i="3"/>
  <c r="BJ133" i="3"/>
  <c r="BI133" i="3"/>
  <c r="AG133" i="3" s="1"/>
  <c r="BH133" i="3"/>
  <c r="BF133" i="3"/>
  <c r="BD133" i="3"/>
  <c r="AX133" i="3"/>
  <c r="AW133" i="3"/>
  <c r="AP133" i="3"/>
  <c r="AO133" i="3"/>
  <c r="AL133" i="3"/>
  <c r="AU132" i="3" s="1"/>
  <c r="AK133" i="3"/>
  <c r="AT132" i="3" s="1"/>
  <c r="AJ133" i="3"/>
  <c r="AS132" i="3" s="1"/>
  <c r="AH133" i="3"/>
  <c r="AF133" i="3"/>
  <c r="AE133" i="3"/>
  <c r="AD133" i="3"/>
  <c r="AC133" i="3"/>
  <c r="AB133" i="3"/>
  <c r="Z133" i="3"/>
  <c r="I133" i="3"/>
  <c r="I132" i="3" s="1"/>
  <c r="BJ130" i="3"/>
  <c r="BI130" i="3"/>
  <c r="AC130" i="3" s="1"/>
  <c r="BH130" i="3"/>
  <c r="AB130" i="3" s="1"/>
  <c r="BF130" i="3"/>
  <c r="BD130" i="3"/>
  <c r="BC130" i="3"/>
  <c r="AX130" i="3"/>
  <c r="AW130" i="3"/>
  <c r="AV130" i="3" s="1"/>
  <c r="AP130" i="3"/>
  <c r="AO130" i="3"/>
  <c r="AK130" i="3"/>
  <c r="AJ130" i="3"/>
  <c r="AH130" i="3"/>
  <c r="AG130" i="3"/>
  <c r="AF130" i="3"/>
  <c r="AE130" i="3"/>
  <c r="AD130" i="3"/>
  <c r="Z130" i="3"/>
  <c r="I130" i="3"/>
  <c r="AL130" i="3" s="1"/>
  <c r="BJ128" i="3"/>
  <c r="BF128" i="3"/>
  <c r="BD128" i="3"/>
  <c r="AP128" i="3"/>
  <c r="AO128" i="3"/>
  <c r="AL128" i="3"/>
  <c r="AK128" i="3"/>
  <c r="AJ128" i="3"/>
  <c r="AH128" i="3"/>
  <c r="AG128" i="3"/>
  <c r="AF128" i="3"/>
  <c r="AE128" i="3"/>
  <c r="AD128" i="3"/>
  <c r="Z128" i="3"/>
  <c r="I128" i="3"/>
  <c r="BJ127" i="3"/>
  <c r="BI127" i="3"/>
  <c r="BH127" i="3"/>
  <c r="BF127" i="3"/>
  <c r="BD127" i="3"/>
  <c r="AW127" i="3"/>
  <c r="AP127" i="3"/>
  <c r="AX127" i="3" s="1"/>
  <c r="BC127" i="3" s="1"/>
  <c r="AO127" i="3"/>
  <c r="AK127" i="3"/>
  <c r="AJ127" i="3"/>
  <c r="AS126" i="3" s="1"/>
  <c r="AH127" i="3"/>
  <c r="AG127" i="3"/>
  <c r="AF127" i="3"/>
  <c r="AE127" i="3"/>
  <c r="AD127" i="3"/>
  <c r="AC127" i="3"/>
  <c r="AB127" i="3"/>
  <c r="Z127" i="3"/>
  <c r="I127" i="3"/>
  <c r="AT126" i="3"/>
  <c r="BJ125" i="3"/>
  <c r="BF125" i="3"/>
  <c r="BD125" i="3"/>
  <c r="AW125" i="3"/>
  <c r="AP125" i="3"/>
  <c r="BI125" i="3" s="1"/>
  <c r="AE125" i="3" s="1"/>
  <c r="AO125" i="3"/>
  <c r="BH125" i="3" s="1"/>
  <c r="AD125" i="3" s="1"/>
  <c r="AK125" i="3"/>
  <c r="AJ125" i="3"/>
  <c r="AH125" i="3"/>
  <c r="AG125" i="3"/>
  <c r="AF125" i="3"/>
  <c r="AC125" i="3"/>
  <c r="AB125" i="3"/>
  <c r="Z125" i="3"/>
  <c r="I125" i="3"/>
  <c r="AL125" i="3" s="1"/>
  <c r="BJ124" i="3"/>
  <c r="BI124" i="3"/>
  <c r="AE124" i="3" s="1"/>
  <c r="BH124" i="3"/>
  <c r="AD124" i="3" s="1"/>
  <c r="BF124" i="3"/>
  <c r="BD124" i="3"/>
  <c r="AX124" i="3"/>
  <c r="AW124" i="3"/>
  <c r="AV124" i="3" s="1"/>
  <c r="AP124" i="3"/>
  <c r="AO124" i="3"/>
  <c r="AK124" i="3"/>
  <c r="AJ124" i="3"/>
  <c r="AH124" i="3"/>
  <c r="AG124" i="3"/>
  <c r="AF124" i="3"/>
  <c r="AC124" i="3"/>
  <c r="AB124" i="3"/>
  <c r="Z124" i="3"/>
  <c r="I124" i="3"/>
  <c r="AL124" i="3" s="1"/>
  <c r="BJ123" i="3"/>
  <c r="BF123" i="3"/>
  <c r="BD123" i="3"/>
  <c r="AP123" i="3"/>
  <c r="AO123" i="3"/>
  <c r="AL123" i="3"/>
  <c r="AK123" i="3"/>
  <c r="AJ123" i="3"/>
  <c r="AH123" i="3"/>
  <c r="AG123" i="3"/>
  <c r="AF123" i="3"/>
  <c r="AC123" i="3"/>
  <c r="AB123" i="3"/>
  <c r="Z123" i="3"/>
  <c r="I123" i="3"/>
  <c r="BJ122" i="3"/>
  <c r="BI122" i="3"/>
  <c r="BH122" i="3"/>
  <c r="BF122" i="3"/>
  <c r="BD122" i="3"/>
  <c r="AW122" i="3"/>
  <c r="BC122" i="3" s="1"/>
  <c r="AP122" i="3"/>
  <c r="AX122" i="3" s="1"/>
  <c r="AO122" i="3"/>
  <c r="AK122" i="3"/>
  <c r="AJ122" i="3"/>
  <c r="AH122" i="3"/>
  <c r="AG122" i="3"/>
  <c r="AF122" i="3"/>
  <c r="AE122" i="3"/>
  <c r="AD122" i="3"/>
  <c r="AC122" i="3"/>
  <c r="AB122" i="3"/>
  <c r="Z122" i="3"/>
  <c r="I122" i="3"/>
  <c r="AL122" i="3" s="1"/>
  <c r="BJ121" i="3"/>
  <c r="BI121" i="3"/>
  <c r="AE121" i="3" s="1"/>
  <c r="BF121" i="3"/>
  <c r="BD121" i="3"/>
  <c r="AX121" i="3"/>
  <c r="AW121" i="3"/>
  <c r="AP121" i="3"/>
  <c r="AO121" i="3"/>
  <c r="BH121" i="3" s="1"/>
  <c r="AD121" i="3" s="1"/>
  <c r="AL121" i="3"/>
  <c r="AK121" i="3"/>
  <c r="AT120" i="3" s="1"/>
  <c r="AJ121" i="3"/>
  <c r="AS120" i="3" s="1"/>
  <c r="AH121" i="3"/>
  <c r="AG121" i="3"/>
  <c r="AF121" i="3"/>
  <c r="AC121" i="3"/>
  <c r="AB121" i="3"/>
  <c r="Z121" i="3"/>
  <c r="I121" i="3"/>
  <c r="I120" i="3"/>
  <c r="BJ119" i="3"/>
  <c r="BI119" i="3"/>
  <c r="BH119" i="3"/>
  <c r="AD119" i="3" s="1"/>
  <c r="BF119" i="3"/>
  <c r="BD119" i="3"/>
  <c r="BC119" i="3"/>
  <c r="AX119" i="3"/>
  <c r="AW119" i="3"/>
  <c r="AV119" i="3" s="1"/>
  <c r="AP119" i="3"/>
  <c r="AO119" i="3"/>
  <c r="AK119" i="3"/>
  <c r="AT118" i="3" s="1"/>
  <c r="AJ119" i="3"/>
  <c r="AH119" i="3"/>
  <c r="AG119" i="3"/>
  <c r="AF119" i="3"/>
  <c r="AE119" i="3"/>
  <c r="AC119" i="3"/>
  <c r="AB119" i="3"/>
  <c r="Z119" i="3"/>
  <c r="I119" i="3"/>
  <c r="I118" i="3" s="1"/>
  <c r="AS118" i="3"/>
  <c r="BJ117" i="3"/>
  <c r="BF117" i="3"/>
  <c r="BD117" i="3"/>
  <c r="AP117" i="3"/>
  <c r="BI117" i="3" s="1"/>
  <c r="AE117" i="3" s="1"/>
  <c r="AO117" i="3"/>
  <c r="BH117" i="3" s="1"/>
  <c r="AD117" i="3" s="1"/>
  <c r="AL117" i="3"/>
  <c r="AK117" i="3"/>
  <c r="AJ117" i="3"/>
  <c r="AH117" i="3"/>
  <c r="AG117" i="3"/>
  <c r="AF117" i="3"/>
  <c r="AC117" i="3"/>
  <c r="AB117" i="3"/>
  <c r="Z117" i="3"/>
  <c r="I117" i="3"/>
  <c r="BJ116" i="3"/>
  <c r="BF116" i="3"/>
  <c r="BD116" i="3"/>
  <c r="AP116" i="3"/>
  <c r="AX116" i="3" s="1"/>
  <c r="AO116" i="3"/>
  <c r="AW116" i="3" s="1"/>
  <c r="AV116" i="3" s="1"/>
  <c r="AK116" i="3"/>
  <c r="AJ116" i="3"/>
  <c r="AH116" i="3"/>
  <c r="AG116" i="3"/>
  <c r="AF116" i="3"/>
  <c r="AC116" i="3"/>
  <c r="AB116" i="3"/>
  <c r="Z116" i="3"/>
  <c r="I116" i="3"/>
  <c r="AL116" i="3" s="1"/>
  <c r="AU115" i="3" s="1"/>
  <c r="AS115" i="3"/>
  <c r="I115" i="3"/>
  <c r="BJ114" i="3"/>
  <c r="BH114" i="3"/>
  <c r="AD114" i="3" s="1"/>
  <c r="BF114" i="3"/>
  <c r="BD114" i="3"/>
  <c r="AP114" i="3"/>
  <c r="BI114" i="3" s="1"/>
  <c r="AE114" i="3" s="1"/>
  <c r="AO114" i="3"/>
  <c r="AW114" i="3" s="1"/>
  <c r="AK114" i="3"/>
  <c r="AJ114" i="3"/>
  <c r="AH114" i="3"/>
  <c r="AG114" i="3"/>
  <c r="AF114" i="3"/>
  <c r="AC114" i="3"/>
  <c r="AB114" i="3"/>
  <c r="Z114" i="3"/>
  <c r="I114" i="3"/>
  <c r="AL114" i="3" s="1"/>
  <c r="BJ113" i="3"/>
  <c r="BI113" i="3"/>
  <c r="AE113" i="3" s="1"/>
  <c r="BH113" i="3"/>
  <c r="BF113" i="3"/>
  <c r="BD113" i="3"/>
  <c r="AW113" i="3"/>
  <c r="BC113" i="3" s="1"/>
  <c r="AP113" i="3"/>
  <c r="AX113" i="3" s="1"/>
  <c r="AO113" i="3"/>
  <c r="AL113" i="3"/>
  <c r="AK113" i="3"/>
  <c r="AJ113" i="3"/>
  <c r="AH113" i="3"/>
  <c r="AG113" i="3"/>
  <c r="AF113" i="3"/>
  <c r="AD113" i="3"/>
  <c r="AC113" i="3"/>
  <c r="AB113" i="3"/>
  <c r="Z113" i="3"/>
  <c r="I113" i="3"/>
  <c r="BJ112" i="3"/>
  <c r="BF112" i="3"/>
  <c r="BD112" i="3"/>
  <c r="AW112" i="3"/>
  <c r="AP112" i="3"/>
  <c r="BI112" i="3" s="1"/>
  <c r="AE112" i="3" s="1"/>
  <c r="AO112" i="3"/>
  <c r="BH112" i="3" s="1"/>
  <c r="AD112" i="3" s="1"/>
  <c r="AK112" i="3"/>
  <c r="AJ112" i="3"/>
  <c r="AH112" i="3"/>
  <c r="AG112" i="3"/>
  <c r="AF112" i="3"/>
  <c r="AC112" i="3"/>
  <c r="AB112" i="3"/>
  <c r="Z112" i="3"/>
  <c r="I112" i="3"/>
  <c r="AL112" i="3" s="1"/>
  <c r="BJ111" i="3"/>
  <c r="BI111" i="3"/>
  <c r="BH111" i="3"/>
  <c r="AD111" i="3" s="1"/>
  <c r="BF111" i="3"/>
  <c r="BD111" i="3"/>
  <c r="AW111" i="3"/>
  <c r="AV111" i="3" s="1"/>
  <c r="AP111" i="3"/>
  <c r="AX111" i="3" s="1"/>
  <c r="AO111" i="3"/>
  <c r="AK111" i="3"/>
  <c r="AJ111" i="3"/>
  <c r="AH111" i="3"/>
  <c r="AG111" i="3"/>
  <c r="AF111" i="3"/>
  <c r="AE111" i="3"/>
  <c r="AC111" i="3"/>
  <c r="AB111" i="3"/>
  <c r="Z111" i="3"/>
  <c r="I111" i="3"/>
  <c r="AL111" i="3" s="1"/>
  <c r="BJ110" i="3"/>
  <c r="BF110" i="3"/>
  <c r="BD110" i="3"/>
  <c r="AP110" i="3"/>
  <c r="BI110" i="3" s="1"/>
  <c r="AE110" i="3" s="1"/>
  <c r="AO110" i="3"/>
  <c r="BH110" i="3" s="1"/>
  <c r="AD110" i="3" s="1"/>
  <c r="AL110" i="3"/>
  <c r="AK110" i="3"/>
  <c r="AT109" i="3" s="1"/>
  <c r="AJ110" i="3"/>
  <c r="AS109" i="3" s="1"/>
  <c r="AH110" i="3"/>
  <c r="AG110" i="3"/>
  <c r="AF110" i="3"/>
  <c r="AC110" i="3"/>
  <c r="AB110" i="3"/>
  <c r="Z110" i="3"/>
  <c r="I110" i="3"/>
  <c r="BJ108" i="3"/>
  <c r="BI108" i="3"/>
  <c r="BH108" i="3"/>
  <c r="AB108" i="3" s="1"/>
  <c r="BF108" i="3"/>
  <c r="BD108" i="3"/>
  <c r="AW108" i="3"/>
  <c r="BC108" i="3" s="1"/>
  <c r="AV108" i="3"/>
  <c r="AP108" i="3"/>
  <c r="AX108" i="3" s="1"/>
  <c r="AO108" i="3"/>
  <c r="AL108" i="3"/>
  <c r="AK108" i="3"/>
  <c r="AJ108" i="3"/>
  <c r="AS107" i="3" s="1"/>
  <c r="AH108" i="3"/>
  <c r="AG108" i="3"/>
  <c r="AF108" i="3"/>
  <c r="AE108" i="3"/>
  <c r="AD108" i="3"/>
  <c r="AC108" i="3"/>
  <c r="Z108" i="3"/>
  <c r="I108" i="3"/>
  <c r="AU107" i="3"/>
  <c r="AT107" i="3"/>
  <c r="I107" i="3"/>
  <c r="BJ106" i="3"/>
  <c r="BI106" i="3"/>
  <c r="BF106" i="3"/>
  <c r="BD106" i="3"/>
  <c r="AX106" i="3"/>
  <c r="AP106" i="3"/>
  <c r="AO106" i="3"/>
  <c r="BH106" i="3" s="1"/>
  <c r="AB106" i="3" s="1"/>
  <c r="AK106" i="3"/>
  <c r="AT105" i="3" s="1"/>
  <c r="AJ106" i="3"/>
  <c r="AS105" i="3" s="1"/>
  <c r="AH106" i="3"/>
  <c r="AG106" i="3"/>
  <c r="AF106" i="3"/>
  <c r="AE106" i="3"/>
  <c r="AD106" i="3"/>
  <c r="AC106" i="3"/>
  <c r="Z106" i="3"/>
  <c r="I106" i="3"/>
  <c r="AL106" i="3" s="1"/>
  <c r="AU105" i="3" s="1"/>
  <c r="I105" i="3"/>
  <c r="BJ103" i="3"/>
  <c r="AH103" i="3" s="1"/>
  <c r="BI103" i="3"/>
  <c r="BF103" i="3"/>
  <c r="BD103" i="3"/>
  <c r="AX103" i="3"/>
  <c r="AW103" i="3"/>
  <c r="BC103" i="3" s="1"/>
  <c r="AP103" i="3"/>
  <c r="AO103" i="3"/>
  <c r="BH103" i="3" s="1"/>
  <c r="AK103" i="3"/>
  <c r="AJ103" i="3"/>
  <c r="AG103" i="3"/>
  <c r="AF103" i="3"/>
  <c r="AE103" i="3"/>
  <c r="AD103" i="3"/>
  <c r="AC103" i="3"/>
  <c r="AB103" i="3"/>
  <c r="Z103" i="3"/>
  <c r="I103" i="3"/>
  <c r="AL103" i="3" s="1"/>
  <c r="BJ102" i="3"/>
  <c r="AH102" i="3" s="1"/>
  <c r="BI102" i="3"/>
  <c r="BF102" i="3"/>
  <c r="BD102" i="3"/>
  <c r="AP102" i="3"/>
  <c r="AX102" i="3" s="1"/>
  <c r="AO102" i="3"/>
  <c r="BH102" i="3" s="1"/>
  <c r="AK102" i="3"/>
  <c r="AJ102" i="3"/>
  <c r="AG102" i="3"/>
  <c r="AF102" i="3"/>
  <c r="AE102" i="3"/>
  <c r="AD102" i="3"/>
  <c r="AC102" i="3"/>
  <c r="AB102" i="3"/>
  <c r="Z102" i="3"/>
  <c r="I102" i="3"/>
  <c r="AL102" i="3" s="1"/>
  <c r="BJ101" i="3"/>
  <c r="BF101" i="3"/>
  <c r="BD101" i="3"/>
  <c r="AP101" i="3"/>
  <c r="BI101" i="3" s="1"/>
  <c r="AO101" i="3"/>
  <c r="BH101" i="3" s="1"/>
  <c r="AL101" i="3"/>
  <c r="AK101" i="3"/>
  <c r="AJ101" i="3"/>
  <c r="AS99" i="3" s="1"/>
  <c r="AH101" i="3"/>
  <c r="AG101" i="3"/>
  <c r="AF101" i="3"/>
  <c r="AE101" i="3"/>
  <c r="AD101" i="3"/>
  <c r="AC101" i="3"/>
  <c r="AB101" i="3"/>
  <c r="Z101" i="3"/>
  <c r="I101" i="3"/>
  <c r="BJ100" i="3"/>
  <c r="AH100" i="3" s="1"/>
  <c r="BH100" i="3"/>
  <c r="BF100" i="3"/>
  <c r="BD100" i="3"/>
  <c r="AX100" i="3"/>
  <c r="AW100" i="3"/>
  <c r="AV100" i="3" s="1"/>
  <c r="AP100" i="3"/>
  <c r="BI100" i="3" s="1"/>
  <c r="AO100" i="3"/>
  <c r="AK100" i="3"/>
  <c r="AJ100" i="3"/>
  <c r="AG100" i="3"/>
  <c r="AF100" i="3"/>
  <c r="AE100" i="3"/>
  <c r="AD100" i="3"/>
  <c r="AC100" i="3"/>
  <c r="AB100" i="3"/>
  <c r="Z100" i="3"/>
  <c r="I100" i="3"/>
  <c r="BJ98" i="3"/>
  <c r="BI98" i="3"/>
  <c r="AC98" i="3" s="1"/>
  <c r="BF98" i="3"/>
  <c r="BD98" i="3"/>
  <c r="AP98" i="3"/>
  <c r="AX98" i="3" s="1"/>
  <c r="AO98" i="3"/>
  <c r="BH98" i="3" s="1"/>
  <c r="AB98" i="3" s="1"/>
  <c r="AL98" i="3"/>
  <c r="AU97" i="3" s="1"/>
  <c r="AK98" i="3"/>
  <c r="AT97" i="3" s="1"/>
  <c r="AJ98" i="3"/>
  <c r="AH98" i="3"/>
  <c r="AG98" i="3"/>
  <c r="AF98" i="3"/>
  <c r="AE98" i="3"/>
  <c r="AD98" i="3"/>
  <c r="Z98" i="3"/>
  <c r="I98" i="3"/>
  <c r="AS97" i="3"/>
  <c r="I97" i="3"/>
  <c r="BJ96" i="3"/>
  <c r="BF96" i="3"/>
  <c r="BD96" i="3"/>
  <c r="AP96" i="3"/>
  <c r="BI96" i="3" s="1"/>
  <c r="AE96" i="3" s="1"/>
  <c r="AO96" i="3"/>
  <c r="AK96" i="3"/>
  <c r="AT95" i="3" s="1"/>
  <c r="AJ96" i="3"/>
  <c r="AH96" i="3"/>
  <c r="AG96" i="3"/>
  <c r="AF96" i="3"/>
  <c r="AC96" i="3"/>
  <c r="AB96" i="3"/>
  <c r="Z96" i="3"/>
  <c r="I96" i="3"/>
  <c r="I95" i="3" s="1"/>
  <c r="AS95" i="3"/>
  <c r="BJ94" i="3"/>
  <c r="Z94" i="3" s="1"/>
  <c r="BI94" i="3"/>
  <c r="BH94" i="3"/>
  <c r="BF94" i="3"/>
  <c r="BD94" i="3"/>
  <c r="BC94" i="3"/>
  <c r="AX94" i="3"/>
  <c r="AP94" i="3"/>
  <c r="AO94" i="3"/>
  <c r="AW94" i="3" s="1"/>
  <c r="AV94" i="3" s="1"/>
  <c r="AL94" i="3"/>
  <c r="AK94" i="3"/>
  <c r="AJ94" i="3"/>
  <c r="AH94" i="3"/>
  <c r="AG94" i="3"/>
  <c r="AF94" i="3"/>
  <c r="AE94" i="3"/>
  <c r="AD94" i="3"/>
  <c r="AC94" i="3"/>
  <c r="AB94" i="3"/>
  <c r="I94" i="3"/>
  <c r="BJ93" i="3"/>
  <c r="Z93" i="3" s="1"/>
  <c r="BF93" i="3"/>
  <c r="BD93" i="3"/>
  <c r="AP93" i="3"/>
  <c r="AX93" i="3" s="1"/>
  <c r="AO93" i="3"/>
  <c r="BH93" i="3" s="1"/>
  <c r="AL93" i="3"/>
  <c r="AK93" i="3"/>
  <c r="AJ93" i="3"/>
  <c r="AH93" i="3"/>
  <c r="AG93" i="3"/>
  <c r="AF93" i="3"/>
  <c r="AE93" i="3"/>
  <c r="AD93" i="3"/>
  <c r="AC93" i="3"/>
  <c r="AB93" i="3"/>
  <c r="I93" i="3"/>
  <c r="BJ92" i="3"/>
  <c r="BI92" i="3"/>
  <c r="AE92" i="3" s="1"/>
  <c r="BF92" i="3"/>
  <c r="BD92" i="3"/>
  <c r="BC92" i="3"/>
  <c r="AX92" i="3"/>
  <c r="AW92" i="3"/>
  <c r="AV92" i="3"/>
  <c r="AP92" i="3"/>
  <c r="AO92" i="3"/>
  <c r="BH92" i="3" s="1"/>
  <c r="AD92" i="3" s="1"/>
  <c r="AK92" i="3"/>
  <c r="AJ92" i="3"/>
  <c r="AH92" i="3"/>
  <c r="AG92" i="3"/>
  <c r="AF92" i="3"/>
  <c r="AC92" i="3"/>
  <c r="AB92" i="3"/>
  <c r="Z92" i="3"/>
  <c r="I92" i="3"/>
  <c r="AL92" i="3" s="1"/>
  <c r="BJ91" i="3"/>
  <c r="BI91" i="3"/>
  <c r="BF91" i="3"/>
  <c r="BD91" i="3"/>
  <c r="AP91" i="3"/>
  <c r="AX91" i="3" s="1"/>
  <c r="AO91" i="3"/>
  <c r="AK91" i="3"/>
  <c r="AJ91" i="3"/>
  <c r="AH91" i="3"/>
  <c r="AG91" i="3"/>
  <c r="AF91" i="3"/>
  <c r="AE91" i="3"/>
  <c r="AC91" i="3"/>
  <c r="AB91" i="3"/>
  <c r="Z91" i="3"/>
  <c r="I91" i="3"/>
  <c r="AL91" i="3" s="1"/>
  <c r="AU90" i="3" s="1"/>
  <c r="AS90" i="3"/>
  <c r="BJ89" i="3"/>
  <c r="BI89" i="3"/>
  <c r="BF89" i="3"/>
  <c r="BD89" i="3"/>
  <c r="AX89" i="3"/>
  <c r="AP89" i="3"/>
  <c r="AO89" i="3"/>
  <c r="AW89" i="3" s="1"/>
  <c r="BC89" i="3" s="1"/>
  <c r="AL89" i="3"/>
  <c r="AK89" i="3"/>
  <c r="AJ89" i="3"/>
  <c r="AH89" i="3"/>
  <c r="AG89" i="3"/>
  <c r="AF89" i="3"/>
  <c r="AE89" i="3"/>
  <c r="AD89" i="3"/>
  <c r="AC89" i="3"/>
  <c r="AB89" i="3"/>
  <c r="Z89" i="3"/>
  <c r="I89" i="3"/>
  <c r="BJ88" i="3"/>
  <c r="Z88" i="3" s="1"/>
  <c r="BF88" i="3"/>
  <c r="BD88" i="3"/>
  <c r="AP88" i="3"/>
  <c r="AX88" i="3" s="1"/>
  <c r="AO88" i="3"/>
  <c r="BH88" i="3" s="1"/>
  <c r="AL88" i="3"/>
  <c r="AK88" i="3"/>
  <c r="AJ88" i="3"/>
  <c r="AH88" i="3"/>
  <c r="AG88" i="3"/>
  <c r="AF88" i="3"/>
  <c r="AE88" i="3"/>
  <c r="AD88" i="3"/>
  <c r="AC88" i="3"/>
  <c r="AB88" i="3"/>
  <c r="I88" i="3"/>
  <c r="BJ87" i="3"/>
  <c r="BI87" i="3"/>
  <c r="AE87" i="3" s="1"/>
  <c r="BH87" i="3"/>
  <c r="BF87" i="3"/>
  <c r="BD87" i="3"/>
  <c r="AX87" i="3"/>
  <c r="AP87" i="3"/>
  <c r="AO87" i="3"/>
  <c r="AW87" i="3" s="1"/>
  <c r="AK87" i="3"/>
  <c r="AJ87" i="3"/>
  <c r="AH87" i="3"/>
  <c r="AG87" i="3"/>
  <c r="AF87" i="3"/>
  <c r="AD87" i="3"/>
  <c r="AC87" i="3"/>
  <c r="AB87" i="3"/>
  <c r="Z87" i="3"/>
  <c r="I87" i="3"/>
  <c r="AL87" i="3" s="1"/>
  <c r="BJ86" i="3"/>
  <c r="BF86" i="3"/>
  <c r="BD86" i="3"/>
  <c r="AX86" i="3"/>
  <c r="AP86" i="3"/>
  <c r="BI86" i="3" s="1"/>
  <c r="AE86" i="3" s="1"/>
  <c r="AO86" i="3"/>
  <c r="AL86" i="3"/>
  <c r="AK86" i="3"/>
  <c r="AJ86" i="3"/>
  <c r="AH86" i="3"/>
  <c r="AG86" i="3"/>
  <c r="AF86" i="3"/>
  <c r="AC86" i="3"/>
  <c r="AB86" i="3"/>
  <c r="Z86" i="3"/>
  <c r="I86" i="3"/>
  <c r="BJ85" i="3"/>
  <c r="BF85" i="3"/>
  <c r="BD85" i="3"/>
  <c r="AP85" i="3"/>
  <c r="BI85" i="3" s="1"/>
  <c r="AE85" i="3" s="1"/>
  <c r="AO85" i="3"/>
  <c r="BH85" i="3" s="1"/>
  <c r="AD85" i="3" s="1"/>
  <c r="AK85" i="3"/>
  <c r="AJ85" i="3"/>
  <c r="AH85" i="3"/>
  <c r="AG85" i="3"/>
  <c r="AF85" i="3"/>
  <c r="AC85" i="3"/>
  <c r="AB85" i="3"/>
  <c r="Z85" i="3"/>
  <c r="I85" i="3"/>
  <c r="AL85" i="3" s="1"/>
  <c r="BJ84" i="3"/>
  <c r="BI84" i="3"/>
  <c r="BH84" i="3"/>
  <c r="AD84" i="3" s="1"/>
  <c r="BF84" i="3"/>
  <c r="BD84" i="3"/>
  <c r="AW84" i="3"/>
  <c r="BC84" i="3" s="1"/>
  <c r="AP84" i="3"/>
  <c r="AX84" i="3" s="1"/>
  <c r="AV84" i="3" s="1"/>
  <c r="AO84" i="3"/>
  <c r="AL84" i="3"/>
  <c r="AK84" i="3"/>
  <c r="AJ84" i="3"/>
  <c r="AH84" i="3"/>
  <c r="AG84" i="3"/>
  <c r="AF84" i="3"/>
  <c r="AE84" i="3"/>
  <c r="AC84" i="3"/>
  <c r="AB84" i="3"/>
  <c r="Z84" i="3"/>
  <c r="I84" i="3"/>
  <c r="BJ83" i="3"/>
  <c r="BI83" i="3"/>
  <c r="AE83" i="3" s="1"/>
  <c r="BF83" i="3"/>
  <c r="BD83" i="3"/>
  <c r="AP83" i="3"/>
  <c r="AX83" i="3" s="1"/>
  <c r="AO83" i="3"/>
  <c r="BH83" i="3" s="1"/>
  <c r="AD83" i="3" s="1"/>
  <c r="AL83" i="3"/>
  <c r="AK83" i="3"/>
  <c r="AJ83" i="3"/>
  <c r="AH83" i="3"/>
  <c r="AG83" i="3"/>
  <c r="AF83" i="3"/>
  <c r="AC83" i="3"/>
  <c r="AB83" i="3"/>
  <c r="Z83" i="3"/>
  <c r="I83" i="3"/>
  <c r="BJ82" i="3"/>
  <c r="BF82" i="3"/>
  <c r="BD82" i="3"/>
  <c r="AP82" i="3"/>
  <c r="AX82" i="3" s="1"/>
  <c r="AO82" i="3"/>
  <c r="BH82" i="3" s="1"/>
  <c r="AD82" i="3" s="1"/>
  <c r="AK82" i="3"/>
  <c r="AJ82" i="3"/>
  <c r="AS81" i="3" s="1"/>
  <c r="AH82" i="3"/>
  <c r="AG82" i="3"/>
  <c r="AF82" i="3"/>
  <c r="AC82" i="3"/>
  <c r="AB82" i="3"/>
  <c r="Z82" i="3"/>
  <c r="I82" i="3"/>
  <c r="AL82" i="3" s="1"/>
  <c r="AU81" i="3" s="1"/>
  <c r="BJ80" i="3"/>
  <c r="BH80" i="3"/>
  <c r="AD80" i="3" s="1"/>
  <c r="BF80" i="3"/>
  <c r="BD80" i="3"/>
  <c r="AX80" i="3"/>
  <c r="AW80" i="3"/>
  <c r="BC80" i="3" s="1"/>
  <c r="AP80" i="3"/>
  <c r="BI80" i="3" s="1"/>
  <c r="AE80" i="3" s="1"/>
  <c r="AO80" i="3"/>
  <c r="AK80" i="3"/>
  <c r="AJ80" i="3"/>
  <c r="AH80" i="3"/>
  <c r="AG80" i="3"/>
  <c r="AF80" i="3"/>
  <c r="AC80" i="3"/>
  <c r="AB80" i="3"/>
  <c r="Z80" i="3"/>
  <c r="I80" i="3"/>
  <c r="AL80" i="3" s="1"/>
  <c r="AU79" i="3"/>
  <c r="AT79" i="3"/>
  <c r="AS79" i="3"/>
  <c r="I79" i="3"/>
  <c r="BJ78" i="3"/>
  <c r="Z78" i="3" s="1"/>
  <c r="BF78" i="3"/>
  <c r="BD78" i="3"/>
  <c r="AP78" i="3"/>
  <c r="AX78" i="3" s="1"/>
  <c r="AO78" i="3"/>
  <c r="BH78" i="3" s="1"/>
  <c r="AL78" i="3"/>
  <c r="AK78" i="3"/>
  <c r="AJ78" i="3"/>
  <c r="AH78" i="3"/>
  <c r="AG78" i="3"/>
  <c r="AF78" i="3"/>
  <c r="AE78" i="3"/>
  <c r="AD78" i="3"/>
  <c r="AC78" i="3"/>
  <c r="AB78" i="3"/>
  <c r="I78" i="3"/>
  <c r="BJ77" i="3"/>
  <c r="BI77" i="3"/>
  <c r="AE77" i="3" s="1"/>
  <c r="BF77" i="3"/>
  <c r="BD77" i="3"/>
  <c r="AX77" i="3"/>
  <c r="AP77" i="3"/>
  <c r="AO77" i="3"/>
  <c r="BH77" i="3" s="1"/>
  <c r="AD77" i="3" s="1"/>
  <c r="AK77" i="3"/>
  <c r="AJ77" i="3"/>
  <c r="AH77" i="3"/>
  <c r="AG77" i="3"/>
  <c r="AF77" i="3"/>
  <c r="AC77" i="3"/>
  <c r="AB77" i="3"/>
  <c r="Z77" i="3"/>
  <c r="I77" i="3"/>
  <c r="AL77" i="3" s="1"/>
  <c r="BJ76" i="3"/>
  <c r="BI76" i="3"/>
  <c r="AE76" i="3" s="1"/>
  <c r="BF76" i="3"/>
  <c r="BD76" i="3"/>
  <c r="AX76" i="3"/>
  <c r="AP76" i="3"/>
  <c r="AO76" i="3"/>
  <c r="AK76" i="3"/>
  <c r="AJ76" i="3"/>
  <c r="AH76" i="3"/>
  <c r="AG76" i="3"/>
  <c r="AF76" i="3"/>
  <c r="AC76" i="3"/>
  <c r="AB76" i="3"/>
  <c r="Z76" i="3"/>
  <c r="I76" i="3"/>
  <c r="AL76" i="3" s="1"/>
  <c r="BJ74" i="3"/>
  <c r="BH74" i="3"/>
  <c r="AD74" i="3" s="1"/>
  <c r="BF74" i="3"/>
  <c r="BD74" i="3"/>
  <c r="AP74" i="3"/>
  <c r="BI74" i="3" s="1"/>
  <c r="AE74" i="3" s="1"/>
  <c r="AO74" i="3"/>
  <c r="AW74" i="3" s="1"/>
  <c r="AK74" i="3"/>
  <c r="AJ74" i="3"/>
  <c r="AH74" i="3"/>
  <c r="AG74" i="3"/>
  <c r="AF74" i="3"/>
  <c r="AC74" i="3"/>
  <c r="AB74" i="3"/>
  <c r="Z74" i="3"/>
  <c r="I74" i="3"/>
  <c r="AL74" i="3" s="1"/>
  <c r="BJ73" i="3"/>
  <c r="BI73" i="3"/>
  <c r="AE73" i="3" s="1"/>
  <c r="BH73" i="3"/>
  <c r="BF73" i="3"/>
  <c r="BD73" i="3"/>
  <c r="AW73" i="3"/>
  <c r="BC73" i="3" s="1"/>
  <c r="AP73" i="3"/>
  <c r="AX73" i="3" s="1"/>
  <c r="AO73" i="3"/>
  <c r="AL73" i="3"/>
  <c r="AK73" i="3"/>
  <c r="AJ73" i="3"/>
  <c r="AH73" i="3"/>
  <c r="AG73" i="3"/>
  <c r="AF73" i="3"/>
  <c r="AD73" i="3"/>
  <c r="AC73" i="3"/>
  <c r="AB73" i="3"/>
  <c r="Z73" i="3"/>
  <c r="I73" i="3"/>
  <c r="BJ72" i="3"/>
  <c r="BF72" i="3"/>
  <c r="BD72" i="3"/>
  <c r="AW72" i="3"/>
  <c r="AP72" i="3"/>
  <c r="BI72" i="3" s="1"/>
  <c r="AE72" i="3" s="1"/>
  <c r="AO72" i="3"/>
  <c r="BH72" i="3" s="1"/>
  <c r="AD72" i="3" s="1"/>
  <c r="AK72" i="3"/>
  <c r="AJ72" i="3"/>
  <c r="AH72" i="3"/>
  <c r="AG72" i="3"/>
  <c r="AF72" i="3"/>
  <c r="AC72" i="3"/>
  <c r="AB72" i="3"/>
  <c r="Z72" i="3"/>
  <c r="I72" i="3"/>
  <c r="AL72" i="3" s="1"/>
  <c r="BJ71" i="3"/>
  <c r="BI71" i="3"/>
  <c r="BH71" i="3"/>
  <c r="AD71" i="3" s="1"/>
  <c r="BF71" i="3"/>
  <c r="BD71" i="3"/>
  <c r="AW71" i="3"/>
  <c r="AV71" i="3" s="1"/>
  <c r="AP71" i="3"/>
  <c r="AX71" i="3" s="1"/>
  <c r="AO71" i="3"/>
  <c r="AK71" i="3"/>
  <c r="AJ71" i="3"/>
  <c r="AH71" i="3"/>
  <c r="AG71" i="3"/>
  <c r="AF71" i="3"/>
  <c r="AE71" i="3"/>
  <c r="AC71" i="3"/>
  <c r="AB71" i="3"/>
  <c r="Z71" i="3"/>
  <c r="I71" i="3"/>
  <c r="AL71" i="3" s="1"/>
  <c r="BJ70" i="3"/>
  <c r="BF70" i="3"/>
  <c r="BD70" i="3"/>
  <c r="AP70" i="3"/>
  <c r="BI70" i="3" s="1"/>
  <c r="AE70" i="3" s="1"/>
  <c r="AO70" i="3"/>
  <c r="BH70" i="3" s="1"/>
  <c r="AD70" i="3" s="1"/>
  <c r="AL70" i="3"/>
  <c r="AK70" i="3"/>
  <c r="AJ70" i="3"/>
  <c r="AH70" i="3"/>
  <c r="AG70" i="3"/>
  <c r="AF70" i="3"/>
  <c r="AC70" i="3"/>
  <c r="AB70" i="3"/>
  <c r="Z70" i="3"/>
  <c r="I70" i="3"/>
  <c r="BJ68" i="3"/>
  <c r="BH68" i="3"/>
  <c r="BF68" i="3"/>
  <c r="BD68" i="3"/>
  <c r="AX68" i="3"/>
  <c r="AW68" i="3"/>
  <c r="AV68" i="3" s="1"/>
  <c r="AP68" i="3"/>
  <c r="BI68" i="3" s="1"/>
  <c r="AE68" i="3" s="1"/>
  <c r="AO68" i="3"/>
  <c r="AL68" i="3"/>
  <c r="AK68" i="3"/>
  <c r="AT67" i="3" s="1"/>
  <c r="AJ68" i="3"/>
  <c r="AH68" i="3"/>
  <c r="AG68" i="3"/>
  <c r="AF68" i="3"/>
  <c r="AD68" i="3"/>
  <c r="AC68" i="3"/>
  <c r="AB68" i="3"/>
  <c r="Z68" i="3"/>
  <c r="I68" i="3"/>
  <c r="AS67" i="3"/>
  <c r="BJ66" i="3"/>
  <c r="BI66" i="3"/>
  <c r="AC66" i="3" s="1"/>
  <c r="BF66" i="3"/>
  <c r="BD66" i="3"/>
  <c r="AP66" i="3"/>
  <c r="AX66" i="3" s="1"/>
  <c r="AO66" i="3"/>
  <c r="BH66" i="3" s="1"/>
  <c r="AK66" i="3"/>
  <c r="AJ66" i="3"/>
  <c r="AH66" i="3"/>
  <c r="AG66" i="3"/>
  <c r="AF66" i="3"/>
  <c r="AE66" i="3"/>
  <c r="AD66" i="3"/>
  <c r="AB66" i="3"/>
  <c r="Z66" i="3"/>
  <c r="I66" i="3"/>
  <c r="AL66" i="3" s="1"/>
  <c r="AU64" i="3" s="1"/>
  <c r="BJ65" i="3"/>
  <c r="BF65" i="3"/>
  <c r="BD65" i="3"/>
  <c r="AW65" i="3"/>
  <c r="AV65" i="3" s="1"/>
  <c r="AP65" i="3"/>
  <c r="AX65" i="3" s="1"/>
  <c r="AO65" i="3"/>
  <c r="BH65" i="3" s="1"/>
  <c r="AB65" i="3" s="1"/>
  <c r="AK65" i="3"/>
  <c r="AT64" i="3" s="1"/>
  <c r="AJ65" i="3"/>
  <c r="AS64" i="3" s="1"/>
  <c r="AH65" i="3"/>
  <c r="AG65" i="3"/>
  <c r="AF65" i="3"/>
  <c r="AE65" i="3"/>
  <c r="AD65" i="3"/>
  <c r="Z65" i="3"/>
  <c r="I65" i="3"/>
  <c r="AL65" i="3" s="1"/>
  <c r="BJ63" i="3"/>
  <c r="BH63" i="3"/>
  <c r="BF63" i="3"/>
  <c r="BD63" i="3"/>
  <c r="AX63" i="3"/>
  <c r="AW63" i="3"/>
  <c r="BC63" i="3" s="1"/>
  <c r="AV63" i="3"/>
  <c r="AP63" i="3"/>
  <c r="BI63" i="3" s="1"/>
  <c r="AC63" i="3" s="1"/>
  <c r="AO63" i="3"/>
  <c r="AK63" i="3"/>
  <c r="AJ63" i="3"/>
  <c r="AH63" i="3"/>
  <c r="AG63" i="3"/>
  <c r="AF63" i="3"/>
  <c r="AE63" i="3"/>
  <c r="AD63" i="3"/>
  <c r="AB63" i="3"/>
  <c r="Z63" i="3"/>
  <c r="I63" i="3"/>
  <c r="AL63" i="3" s="1"/>
  <c r="AU62" i="3"/>
  <c r="AT62" i="3"/>
  <c r="AS62" i="3"/>
  <c r="I62" i="3"/>
  <c r="BJ60" i="3"/>
  <c r="BF60" i="3"/>
  <c r="BD60" i="3"/>
  <c r="AX60" i="3"/>
  <c r="AP60" i="3"/>
  <c r="BI60" i="3" s="1"/>
  <c r="AG60" i="3" s="1"/>
  <c r="AO60" i="3"/>
  <c r="BH60" i="3" s="1"/>
  <c r="AF60" i="3" s="1"/>
  <c r="AL60" i="3"/>
  <c r="AU59" i="3" s="1"/>
  <c r="AK60" i="3"/>
  <c r="AT59" i="3" s="1"/>
  <c r="AJ60" i="3"/>
  <c r="AS59" i="3" s="1"/>
  <c r="AH60" i="3"/>
  <c r="AE60" i="3"/>
  <c r="AD60" i="3"/>
  <c r="AC60" i="3"/>
  <c r="AB60" i="3"/>
  <c r="Z60" i="3"/>
  <c r="I60" i="3"/>
  <c r="I59" i="3"/>
  <c r="BJ58" i="3"/>
  <c r="BI58" i="3"/>
  <c r="AE58" i="3" s="1"/>
  <c r="BH58" i="3"/>
  <c r="AD58" i="3" s="1"/>
  <c r="BF58" i="3"/>
  <c r="BD58" i="3"/>
  <c r="AW58" i="3"/>
  <c r="BC58" i="3" s="1"/>
  <c r="AP58" i="3"/>
  <c r="AX58" i="3" s="1"/>
  <c r="AO58" i="3"/>
  <c r="AL58" i="3"/>
  <c r="AK58" i="3"/>
  <c r="AJ58" i="3"/>
  <c r="AS57" i="3" s="1"/>
  <c r="AH58" i="3"/>
  <c r="AG58" i="3"/>
  <c r="AF58" i="3"/>
  <c r="AC58" i="3"/>
  <c r="AB58" i="3"/>
  <c r="Z58" i="3"/>
  <c r="I58" i="3"/>
  <c r="AU57" i="3"/>
  <c r="AT57" i="3"/>
  <c r="I57" i="3"/>
  <c r="BJ56" i="3"/>
  <c r="BI56" i="3"/>
  <c r="BF56" i="3"/>
  <c r="BD56" i="3"/>
  <c r="AX56" i="3"/>
  <c r="AP56" i="3"/>
  <c r="AO56" i="3"/>
  <c r="BH56" i="3" s="1"/>
  <c r="AD56" i="3" s="1"/>
  <c r="AK56" i="3"/>
  <c r="AJ56" i="3"/>
  <c r="AS54" i="3" s="1"/>
  <c r="AH56" i="3"/>
  <c r="AG56" i="3"/>
  <c r="AF56" i="3"/>
  <c r="AE56" i="3"/>
  <c r="AC56" i="3"/>
  <c r="AB56" i="3"/>
  <c r="Z56" i="3"/>
  <c r="I56" i="3"/>
  <c r="AL56" i="3" s="1"/>
  <c r="BJ55" i="3"/>
  <c r="BF55" i="3"/>
  <c r="BD55" i="3"/>
  <c r="AP55" i="3"/>
  <c r="BI55" i="3" s="1"/>
  <c r="AE55" i="3" s="1"/>
  <c r="AO55" i="3"/>
  <c r="AK55" i="3"/>
  <c r="AJ55" i="3"/>
  <c r="AH55" i="3"/>
  <c r="AG55" i="3"/>
  <c r="AF55" i="3"/>
  <c r="AC55" i="3"/>
  <c r="AB55" i="3"/>
  <c r="Z55" i="3"/>
  <c r="I55" i="3"/>
  <c r="I54" i="3" s="1"/>
  <c r="BJ53" i="3"/>
  <c r="BI53" i="3"/>
  <c r="AE53" i="3" s="1"/>
  <c r="BH53" i="3"/>
  <c r="AD53" i="3" s="1"/>
  <c r="BF53" i="3"/>
  <c r="BD53" i="3"/>
  <c r="BC53" i="3"/>
  <c r="AX53" i="3"/>
  <c r="AP53" i="3"/>
  <c r="AO53" i="3"/>
  <c r="AW53" i="3" s="1"/>
  <c r="AV53" i="3" s="1"/>
  <c r="AL53" i="3"/>
  <c r="AU52" i="3" s="1"/>
  <c r="AK53" i="3"/>
  <c r="AJ53" i="3"/>
  <c r="AH53" i="3"/>
  <c r="AG53" i="3"/>
  <c r="AF53" i="3"/>
  <c r="AC53" i="3"/>
  <c r="AB53" i="3"/>
  <c r="Z53" i="3"/>
  <c r="I53" i="3"/>
  <c r="AT52" i="3"/>
  <c r="AS52" i="3"/>
  <c r="I52" i="3"/>
  <c r="BJ50" i="3"/>
  <c r="BF50" i="3"/>
  <c r="BD50" i="3"/>
  <c r="AW50" i="3"/>
  <c r="AP50" i="3"/>
  <c r="BI50" i="3" s="1"/>
  <c r="AO50" i="3"/>
  <c r="BH50" i="3" s="1"/>
  <c r="AK50" i="3"/>
  <c r="AJ50" i="3"/>
  <c r="AH50" i="3"/>
  <c r="AG50" i="3"/>
  <c r="AF50" i="3"/>
  <c r="AE50" i="3"/>
  <c r="AD50" i="3"/>
  <c r="AC50" i="3"/>
  <c r="AB50" i="3"/>
  <c r="Z50" i="3"/>
  <c r="I50" i="3"/>
  <c r="BJ49" i="3"/>
  <c r="BI49" i="3"/>
  <c r="BH49" i="3"/>
  <c r="BF49" i="3"/>
  <c r="BD49" i="3"/>
  <c r="AW49" i="3"/>
  <c r="BC49" i="3" s="1"/>
  <c r="AP49" i="3"/>
  <c r="AX49" i="3" s="1"/>
  <c r="AO49" i="3"/>
  <c r="AL49" i="3"/>
  <c r="AK49" i="3"/>
  <c r="AT48" i="3" s="1"/>
  <c r="AJ49" i="3"/>
  <c r="AS48" i="3" s="1"/>
  <c r="AH49" i="3"/>
  <c r="AG49" i="3"/>
  <c r="AF49" i="3"/>
  <c r="AE49" i="3"/>
  <c r="AD49" i="3"/>
  <c r="AC49" i="3"/>
  <c r="AB49" i="3"/>
  <c r="Z49" i="3"/>
  <c r="I49" i="3"/>
  <c r="BJ47" i="3"/>
  <c r="BI47" i="3"/>
  <c r="AC47" i="3" s="1"/>
  <c r="BF47" i="3"/>
  <c r="BD47" i="3"/>
  <c r="AX47" i="3"/>
  <c r="AP47" i="3"/>
  <c r="AO47" i="3"/>
  <c r="AW47" i="3" s="1"/>
  <c r="AK47" i="3"/>
  <c r="AJ47" i="3"/>
  <c r="AS44" i="3" s="1"/>
  <c r="AH47" i="3"/>
  <c r="AG47" i="3"/>
  <c r="AF47" i="3"/>
  <c r="AE47" i="3"/>
  <c r="AD47" i="3"/>
  <c r="Z47" i="3"/>
  <c r="I47" i="3"/>
  <c r="AL47" i="3" s="1"/>
  <c r="BJ46" i="3"/>
  <c r="BI46" i="3"/>
  <c r="AC46" i="3" s="1"/>
  <c r="BF46" i="3"/>
  <c r="BD46" i="3"/>
  <c r="AX46" i="3"/>
  <c r="AP46" i="3"/>
  <c r="AO46" i="3"/>
  <c r="AK46" i="3"/>
  <c r="AJ46" i="3"/>
  <c r="AH46" i="3"/>
  <c r="AG46" i="3"/>
  <c r="AF46" i="3"/>
  <c r="AE46" i="3"/>
  <c r="AD46" i="3"/>
  <c r="Z46" i="3"/>
  <c r="I46" i="3"/>
  <c r="AL46" i="3" s="1"/>
  <c r="AU44" i="3" s="1"/>
  <c r="BJ45" i="3"/>
  <c r="BH45" i="3"/>
  <c r="BF45" i="3"/>
  <c r="BD45" i="3"/>
  <c r="AP45" i="3"/>
  <c r="BI45" i="3" s="1"/>
  <c r="AO45" i="3"/>
  <c r="AW45" i="3" s="1"/>
  <c r="AK45" i="3"/>
  <c r="AT44" i="3" s="1"/>
  <c r="AJ45" i="3"/>
  <c r="AH45" i="3"/>
  <c r="AG45" i="3"/>
  <c r="AF45" i="3"/>
  <c r="AE45" i="3"/>
  <c r="AD45" i="3"/>
  <c r="AC45" i="3"/>
  <c r="AB45" i="3"/>
  <c r="Z45" i="3"/>
  <c r="I45" i="3"/>
  <c r="AL45" i="3" s="1"/>
  <c r="BJ43" i="3"/>
  <c r="Z43" i="3" s="1"/>
  <c r="BF43" i="3"/>
  <c r="BD43" i="3"/>
  <c r="AP43" i="3"/>
  <c r="AX43" i="3" s="1"/>
  <c r="AO43" i="3"/>
  <c r="BH43" i="3" s="1"/>
  <c r="AL43" i="3"/>
  <c r="AK43" i="3"/>
  <c r="AJ43" i="3"/>
  <c r="AH43" i="3"/>
  <c r="AG43" i="3"/>
  <c r="AF43" i="3"/>
  <c r="AE43" i="3"/>
  <c r="AD43" i="3"/>
  <c r="AC43" i="3"/>
  <c r="AB43" i="3"/>
  <c r="I43" i="3"/>
  <c r="BJ42" i="3"/>
  <c r="BI42" i="3"/>
  <c r="BH42" i="3"/>
  <c r="BF42" i="3"/>
  <c r="BD42" i="3"/>
  <c r="AX42" i="3"/>
  <c r="BC42" i="3" s="1"/>
  <c r="AW42" i="3"/>
  <c r="AV42" i="3" s="1"/>
  <c r="AP42" i="3"/>
  <c r="AO42" i="3"/>
  <c r="AK42" i="3"/>
  <c r="AJ42" i="3"/>
  <c r="AH42" i="3"/>
  <c r="AG42" i="3"/>
  <c r="AF42" i="3"/>
  <c r="AE42" i="3"/>
  <c r="AD42" i="3"/>
  <c r="AC42" i="3"/>
  <c r="AB42" i="3"/>
  <c r="Z42" i="3"/>
  <c r="I42" i="3"/>
  <c r="AL42" i="3" s="1"/>
  <c r="BJ40" i="3"/>
  <c r="BI40" i="3"/>
  <c r="BF40" i="3"/>
  <c r="BD40" i="3"/>
  <c r="AP40" i="3"/>
  <c r="AX40" i="3" s="1"/>
  <c r="AO40" i="3"/>
  <c r="AL40" i="3"/>
  <c r="AK40" i="3"/>
  <c r="AJ40" i="3"/>
  <c r="AH40" i="3"/>
  <c r="AG40" i="3"/>
  <c r="AF40" i="3"/>
  <c r="AE40" i="3"/>
  <c r="AD40" i="3"/>
  <c r="AC40" i="3"/>
  <c r="Z40" i="3"/>
  <c r="I40" i="3"/>
  <c r="BJ39" i="3"/>
  <c r="BF39" i="3"/>
  <c r="BD39" i="3"/>
  <c r="AP39" i="3"/>
  <c r="BI39" i="3" s="1"/>
  <c r="AC39" i="3" s="1"/>
  <c r="AO39" i="3"/>
  <c r="BH39" i="3" s="1"/>
  <c r="AB39" i="3" s="1"/>
  <c r="AK39" i="3"/>
  <c r="AJ39" i="3"/>
  <c r="AH39" i="3"/>
  <c r="AG39" i="3"/>
  <c r="AF39" i="3"/>
  <c r="AE39" i="3"/>
  <c r="AD39" i="3"/>
  <c r="Z39" i="3"/>
  <c r="I39" i="3"/>
  <c r="AL39" i="3" s="1"/>
  <c r="BJ38" i="3"/>
  <c r="BI38" i="3"/>
  <c r="BH38" i="3"/>
  <c r="AB38" i="3" s="1"/>
  <c r="BF38" i="3"/>
  <c r="BD38" i="3"/>
  <c r="AX38" i="3"/>
  <c r="AW38" i="3"/>
  <c r="BC38" i="3" s="1"/>
  <c r="AV38" i="3"/>
  <c r="AP38" i="3"/>
  <c r="AO38" i="3"/>
  <c r="AL38" i="3"/>
  <c r="AK38" i="3"/>
  <c r="AJ38" i="3"/>
  <c r="AH38" i="3"/>
  <c r="AG38" i="3"/>
  <c r="AF38" i="3"/>
  <c r="AE38" i="3"/>
  <c r="AD38" i="3"/>
  <c r="AC38" i="3"/>
  <c r="Z38" i="3"/>
  <c r="I38" i="3"/>
  <c r="BJ37" i="3"/>
  <c r="BI37" i="3"/>
  <c r="AC37" i="3" s="1"/>
  <c r="BF37" i="3"/>
  <c r="BD37" i="3"/>
  <c r="AP37" i="3"/>
  <c r="AX37" i="3" s="1"/>
  <c r="AO37" i="3"/>
  <c r="BH37" i="3" s="1"/>
  <c r="AL37" i="3"/>
  <c r="AK37" i="3"/>
  <c r="AJ37" i="3"/>
  <c r="AH37" i="3"/>
  <c r="AG37" i="3"/>
  <c r="AF37" i="3"/>
  <c r="AE37" i="3"/>
  <c r="AD37" i="3"/>
  <c r="AB37" i="3"/>
  <c r="Z37" i="3"/>
  <c r="I37" i="3"/>
  <c r="BJ36" i="3"/>
  <c r="BF36" i="3"/>
  <c r="BD36" i="3"/>
  <c r="AP36" i="3"/>
  <c r="AX36" i="3" s="1"/>
  <c r="AO36" i="3"/>
  <c r="BH36" i="3" s="1"/>
  <c r="AF36" i="3" s="1"/>
  <c r="AK36" i="3"/>
  <c r="AJ36" i="3"/>
  <c r="AS33" i="3" s="1"/>
  <c r="AH36" i="3"/>
  <c r="AE36" i="3"/>
  <c r="AD36" i="3"/>
  <c r="AC36" i="3"/>
  <c r="AB36" i="3"/>
  <c r="Z36" i="3"/>
  <c r="I36" i="3"/>
  <c r="AL36" i="3" s="1"/>
  <c r="BJ35" i="3"/>
  <c r="BF35" i="3"/>
  <c r="BD35" i="3"/>
  <c r="AP35" i="3"/>
  <c r="BI35" i="3" s="1"/>
  <c r="AC35" i="3" s="1"/>
  <c r="AO35" i="3"/>
  <c r="AW35" i="3" s="1"/>
  <c r="AL35" i="3"/>
  <c r="AK35" i="3"/>
  <c r="AJ35" i="3"/>
  <c r="AH35" i="3"/>
  <c r="AG35" i="3"/>
  <c r="AF35" i="3"/>
  <c r="AE35" i="3"/>
  <c r="AD35" i="3"/>
  <c r="Z35" i="3"/>
  <c r="I35" i="3"/>
  <c r="BJ34" i="3"/>
  <c r="BI34" i="3"/>
  <c r="AC34" i="3" s="1"/>
  <c r="BH34" i="3"/>
  <c r="BF34" i="3"/>
  <c r="BD34" i="3"/>
  <c r="BC34" i="3"/>
  <c r="AX34" i="3"/>
  <c r="AW34" i="3"/>
  <c r="AP34" i="3"/>
  <c r="AO34" i="3"/>
  <c r="AK34" i="3"/>
  <c r="AJ34" i="3"/>
  <c r="AH34" i="3"/>
  <c r="AG34" i="3"/>
  <c r="AF34" i="3"/>
  <c r="AE34" i="3"/>
  <c r="AD34" i="3"/>
  <c r="AB34" i="3"/>
  <c r="Z34" i="3"/>
  <c r="I34" i="3"/>
  <c r="I33" i="3" s="1"/>
  <c r="BJ32" i="3"/>
  <c r="BF32" i="3"/>
  <c r="BD32" i="3"/>
  <c r="AP32" i="3"/>
  <c r="BI32" i="3" s="1"/>
  <c r="AE32" i="3" s="1"/>
  <c r="AO32" i="3"/>
  <c r="BH32" i="3" s="1"/>
  <c r="AD32" i="3" s="1"/>
  <c r="AL32" i="3"/>
  <c r="AU31" i="3" s="1"/>
  <c r="AK32" i="3"/>
  <c r="AT31" i="3" s="1"/>
  <c r="AJ32" i="3"/>
  <c r="AH32" i="3"/>
  <c r="AG32" i="3"/>
  <c r="AF32" i="3"/>
  <c r="AC32" i="3"/>
  <c r="AB32" i="3"/>
  <c r="Z32" i="3"/>
  <c r="I32" i="3"/>
  <c r="AS31" i="3"/>
  <c r="I31" i="3"/>
  <c r="BO29" i="3"/>
  <c r="BJ29" i="3"/>
  <c r="BI29" i="3"/>
  <c r="BF29" i="3"/>
  <c r="BD29" i="3"/>
  <c r="AP29" i="3"/>
  <c r="AX29" i="3" s="1"/>
  <c r="AO29" i="3"/>
  <c r="BH29" i="3" s="1"/>
  <c r="AL29" i="3"/>
  <c r="AK29" i="3"/>
  <c r="AJ29" i="3"/>
  <c r="AH29" i="3"/>
  <c r="AG29" i="3"/>
  <c r="AF29" i="3"/>
  <c r="AE29" i="3"/>
  <c r="AD29" i="3"/>
  <c r="AC29" i="3"/>
  <c r="AB29" i="3"/>
  <c r="Z29" i="3"/>
  <c r="I29" i="3"/>
  <c r="BO28" i="3"/>
  <c r="BJ28" i="3"/>
  <c r="BH28" i="3"/>
  <c r="BF28" i="3"/>
  <c r="BD28" i="3"/>
  <c r="AW28" i="3"/>
  <c r="AP28" i="3"/>
  <c r="BI28" i="3" s="1"/>
  <c r="AO28" i="3"/>
  <c r="AL28" i="3"/>
  <c r="AK28" i="3"/>
  <c r="AJ28" i="3"/>
  <c r="AH28" i="3"/>
  <c r="AG28" i="3"/>
  <c r="AF28" i="3"/>
  <c r="AE28" i="3"/>
  <c r="AD28" i="3"/>
  <c r="AC28" i="3"/>
  <c r="AB28" i="3"/>
  <c r="Z28" i="3"/>
  <c r="I28" i="3"/>
  <c r="BO27" i="3"/>
  <c r="BJ27" i="3"/>
  <c r="BF27" i="3"/>
  <c r="BD27" i="3"/>
  <c r="AW27" i="3"/>
  <c r="AP27" i="3"/>
  <c r="AX27" i="3" s="1"/>
  <c r="AV27" i="3" s="1"/>
  <c r="AO27" i="3"/>
  <c r="BH27" i="3" s="1"/>
  <c r="AL27" i="3"/>
  <c r="AK27" i="3"/>
  <c r="AJ27" i="3"/>
  <c r="AH27" i="3"/>
  <c r="AG27" i="3"/>
  <c r="AF27" i="3"/>
  <c r="AE27" i="3"/>
  <c r="AD27" i="3"/>
  <c r="AC27" i="3"/>
  <c r="AB27" i="3"/>
  <c r="Z27" i="3"/>
  <c r="I27" i="3"/>
  <c r="BO26" i="3"/>
  <c r="BJ26" i="3"/>
  <c r="BI26" i="3"/>
  <c r="BH26" i="3"/>
  <c r="BF26" i="3"/>
  <c r="BD26" i="3"/>
  <c r="AW26" i="3"/>
  <c r="AP26" i="3"/>
  <c r="AX26" i="3" s="1"/>
  <c r="AO26" i="3"/>
  <c r="AL26" i="3"/>
  <c r="AU25" i="3" s="1"/>
  <c r="AK26" i="3"/>
  <c r="AJ26" i="3"/>
  <c r="AH26" i="3"/>
  <c r="AG26" i="3"/>
  <c r="AF26" i="3"/>
  <c r="AE26" i="3"/>
  <c r="AD26" i="3"/>
  <c r="AC26" i="3"/>
  <c r="AB26" i="3"/>
  <c r="Z26" i="3"/>
  <c r="I26" i="3"/>
  <c r="AS25" i="3"/>
  <c r="BN24" i="3"/>
  <c r="BJ24" i="3"/>
  <c r="BF24" i="3"/>
  <c r="BD24" i="3"/>
  <c r="AP24" i="3"/>
  <c r="BI24" i="3" s="1"/>
  <c r="AO24" i="3"/>
  <c r="BH24" i="3" s="1"/>
  <c r="AK24" i="3"/>
  <c r="AJ24" i="3"/>
  <c r="AH24" i="3"/>
  <c r="AG24" i="3"/>
  <c r="AF24" i="3"/>
  <c r="AE24" i="3"/>
  <c r="AD24" i="3"/>
  <c r="AC24" i="3"/>
  <c r="AB24" i="3"/>
  <c r="Z24" i="3"/>
  <c r="I24" i="3"/>
  <c r="AL24" i="3" s="1"/>
  <c r="BN23" i="3"/>
  <c r="F36" i="2" s="1"/>
  <c r="BJ23" i="3"/>
  <c r="BI23" i="3"/>
  <c r="BH23" i="3"/>
  <c r="BF23" i="3"/>
  <c r="BD23" i="3"/>
  <c r="AW23" i="3"/>
  <c r="AP23" i="3"/>
  <c r="AX23" i="3" s="1"/>
  <c r="BC23" i="3" s="1"/>
  <c r="AO23" i="3"/>
  <c r="AL23" i="3"/>
  <c r="AU22" i="3" s="1"/>
  <c r="AK23" i="3"/>
  <c r="AT22" i="3" s="1"/>
  <c r="AJ23" i="3"/>
  <c r="AS22" i="3" s="1"/>
  <c r="AH23" i="3"/>
  <c r="AG23" i="3"/>
  <c r="AF23" i="3"/>
  <c r="AE23" i="3"/>
  <c r="AD23" i="3"/>
  <c r="AC23" i="3"/>
  <c r="AB23" i="3"/>
  <c r="Z23" i="3"/>
  <c r="I23" i="3"/>
  <c r="BM21" i="3"/>
  <c r="BJ21" i="3"/>
  <c r="BH21" i="3"/>
  <c r="BF21" i="3"/>
  <c r="BD21" i="3"/>
  <c r="AW21" i="3"/>
  <c r="AP21" i="3"/>
  <c r="BI21" i="3" s="1"/>
  <c r="AO21" i="3"/>
  <c r="AK21" i="3"/>
  <c r="AJ21" i="3"/>
  <c r="AH21" i="3"/>
  <c r="AG21" i="3"/>
  <c r="AF21" i="3"/>
  <c r="AE21" i="3"/>
  <c r="AD21" i="3"/>
  <c r="AC21" i="3"/>
  <c r="AB21" i="3"/>
  <c r="Z21" i="3"/>
  <c r="I21" i="3"/>
  <c r="AL21" i="3" s="1"/>
  <c r="BM20" i="3"/>
  <c r="BJ20" i="3"/>
  <c r="BI20" i="3"/>
  <c r="BF20" i="3"/>
  <c r="BD20" i="3"/>
  <c r="AP20" i="3"/>
  <c r="AX20" i="3" s="1"/>
  <c r="AO20" i="3"/>
  <c r="BH20" i="3" s="1"/>
  <c r="AL20" i="3"/>
  <c r="AK20" i="3"/>
  <c r="AJ20" i="3"/>
  <c r="AH20" i="3"/>
  <c r="AG20" i="3"/>
  <c r="AF20" i="3"/>
  <c r="AE20" i="3"/>
  <c r="AD20" i="3"/>
  <c r="AC20" i="3"/>
  <c r="AB20" i="3"/>
  <c r="Z20" i="3"/>
  <c r="I20" i="3"/>
  <c r="BM19" i="3"/>
  <c r="BJ19" i="3"/>
  <c r="BH19" i="3"/>
  <c r="BF19" i="3"/>
  <c r="BD19" i="3"/>
  <c r="AW19" i="3"/>
  <c r="AP19" i="3"/>
  <c r="BI19" i="3" s="1"/>
  <c r="AO19" i="3"/>
  <c r="AL19" i="3"/>
  <c r="AK19" i="3"/>
  <c r="AT18" i="3" s="1"/>
  <c r="AJ19" i="3"/>
  <c r="AH19" i="3"/>
  <c r="AG19" i="3"/>
  <c r="AF19" i="3"/>
  <c r="AE19" i="3"/>
  <c r="AD19" i="3"/>
  <c r="AC19" i="3"/>
  <c r="AB19" i="3"/>
  <c r="Z19" i="3"/>
  <c r="I19" i="3"/>
  <c r="AS18" i="3"/>
  <c r="BJ16" i="3"/>
  <c r="BF16" i="3"/>
  <c r="BD16" i="3"/>
  <c r="AX16" i="3"/>
  <c r="BC16" i="3" s="1"/>
  <c r="AW16" i="3"/>
  <c r="AV16" i="3" s="1"/>
  <c r="AP16" i="3"/>
  <c r="BI16" i="3" s="1"/>
  <c r="AO16" i="3"/>
  <c r="BH16" i="3" s="1"/>
  <c r="AK16" i="3"/>
  <c r="AJ16" i="3"/>
  <c r="AH16" i="3"/>
  <c r="AG16" i="3"/>
  <c r="AF16" i="3"/>
  <c r="C18" i="1" s="1"/>
  <c r="AE16" i="3"/>
  <c r="AD16" i="3"/>
  <c r="AC16" i="3"/>
  <c r="AB16" i="3"/>
  <c r="Z16" i="3"/>
  <c r="I16" i="3"/>
  <c r="I15" i="3" s="1"/>
  <c r="AT15" i="3"/>
  <c r="AS15" i="3"/>
  <c r="BJ14" i="3"/>
  <c r="BF14" i="3"/>
  <c r="BD14" i="3"/>
  <c r="AP14" i="3"/>
  <c r="AO14" i="3"/>
  <c r="AW14" i="3" s="1"/>
  <c r="AL14" i="3"/>
  <c r="AU13" i="3" s="1"/>
  <c r="AK14" i="3"/>
  <c r="AT13" i="3" s="1"/>
  <c r="AJ14" i="3"/>
  <c r="AH14" i="3"/>
  <c r="AG14" i="3"/>
  <c r="AF14" i="3"/>
  <c r="AE14" i="3"/>
  <c r="AD14" i="3"/>
  <c r="Z14" i="3"/>
  <c r="I14" i="3"/>
  <c r="I13" i="3"/>
  <c r="AU1" i="3"/>
  <c r="AT1" i="3"/>
  <c r="AS1" i="3"/>
  <c r="I44" i="2"/>
  <c r="F44" i="2"/>
  <c r="I43" i="2"/>
  <c r="F43" i="2"/>
  <c r="F42" i="2"/>
  <c r="I42" i="2" s="1"/>
  <c r="F41" i="2"/>
  <c r="I41" i="2" s="1"/>
  <c r="F40" i="2"/>
  <c r="I40" i="2" s="1"/>
  <c r="F39" i="2"/>
  <c r="I39" i="2" s="1"/>
  <c r="F38" i="2"/>
  <c r="I38" i="2" s="1"/>
  <c r="F37" i="2"/>
  <c r="I37" i="2" s="1"/>
  <c r="I36" i="2"/>
  <c r="I26" i="2"/>
  <c r="I25" i="2"/>
  <c r="I24" i="2"/>
  <c r="I23" i="2"/>
  <c r="I16" i="1" s="1"/>
  <c r="I22" i="2"/>
  <c r="I15" i="1" s="1"/>
  <c r="I21" i="2"/>
  <c r="I27" i="2" s="1"/>
  <c r="I17" i="2"/>
  <c r="F16" i="1" s="1"/>
  <c r="I16" i="2"/>
  <c r="F15" i="1" s="1"/>
  <c r="I15" i="2"/>
  <c r="I18" i="2" s="1"/>
  <c r="F29" i="2" s="1"/>
  <c r="I10" i="2"/>
  <c r="F10" i="2"/>
  <c r="C10" i="2"/>
  <c r="F8" i="2"/>
  <c r="C8" i="2"/>
  <c r="F6" i="2"/>
  <c r="C6" i="2"/>
  <c r="F4" i="2"/>
  <c r="C4" i="2"/>
  <c r="F2" i="2"/>
  <c r="C2" i="2"/>
  <c r="I19" i="1"/>
  <c r="I18" i="1"/>
  <c r="I17" i="1"/>
  <c r="I14" i="1"/>
  <c r="F14" i="1"/>
  <c r="I10" i="1"/>
  <c r="F10" i="1"/>
  <c r="C10" i="1"/>
  <c r="F8" i="1"/>
  <c r="F6" i="1"/>
  <c r="C6" i="1"/>
  <c r="F4" i="1"/>
  <c r="C4" i="1"/>
  <c r="F2" i="1"/>
  <c r="C2" i="1"/>
  <c r="F22" i="1" l="1"/>
  <c r="BC47" i="3"/>
  <c r="AV47" i="3"/>
  <c r="AU120" i="3"/>
  <c r="AV87" i="3"/>
  <c r="BC87" i="3"/>
  <c r="BC45" i="3"/>
  <c r="AU67" i="3"/>
  <c r="AU149" i="3"/>
  <c r="I51" i="3"/>
  <c r="AU109" i="3"/>
  <c r="AU18" i="3"/>
  <c r="AV74" i="3"/>
  <c r="AL55" i="3"/>
  <c r="AU54" i="3" s="1"/>
  <c r="AV58" i="3"/>
  <c r="I61" i="3"/>
  <c r="AV80" i="3"/>
  <c r="I90" i="3"/>
  <c r="AL96" i="3"/>
  <c r="AU95" i="3" s="1"/>
  <c r="AV103" i="3"/>
  <c r="AT115" i="3"/>
  <c r="BI128" i="3"/>
  <c r="AC128" i="3" s="1"/>
  <c r="AX128" i="3"/>
  <c r="BC135" i="3"/>
  <c r="AV154" i="3"/>
  <c r="BC27" i="3"/>
  <c r="AX96" i="3"/>
  <c r="BC116" i="3"/>
  <c r="BC124" i="3"/>
  <c r="AX136" i="3"/>
  <c r="BI136" i="3"/>
  <c r="AG136" i="3" s="1"/>
  <c r="C27" i="1"/>
  <c r="AV21" i="3"/>
  <c r="AX55" i="3"/>
  <c r="BC100" i="3"/>
  <c r="C28" i="1"/>
  <c r="F28" i="1" s="1"/>
  <c r="AX21" i="3"/>
  <c r="BC21" i="3" s="1"/>
  <c r="AW24" i="3"/>
  <c r="AX50" i="3"/>
  <c r="AX72" i="3"/>
  <c r="I99" i="3"/>
  <c r="AX112" i="3"/>
  <c r="C20" i="1"/>
  <c r="BH55" i="3"/>
  <c r="AD55" i="3" s="1"/>
  <c r="AW55" i="3"/>
  <c r="AL50" i="3"/>
  <c r="AU48" i="3" s="1"/>
  <c r="I48" i="3"/>
  <c r="BI14" i="3"/>
  <c r="AC14" i="3" s="1"/>
  <c r="C15" i="1" s="1"/>
  <c r="AX14" i="3"/>
  <c r="AV14" i="3" s="1"/>
  <c r="AV19" i="3"/>
  <c r="AT25" i="3"/>
  <c r="AV28" i="3"/>
  <c r="AW56" i="3"/>
  <c r="I67" i="3"/>
  <c r="BC68" i="3"/>
  <c r="AW85" i="3"/>
  <c r="BI116" i="3"/>
  <c r="AE116" i="3" s="1"/>
  <c r="AW117" i="3"/>
  <c r="AX125" i="3"/>
  <c r="AV125" i="3" s="1"/>
  <c r="AX142" i="3"/>
  <c r="BC142" i="3" s="1"/>
  <c r="BC155" i="3"/>
  <c r="AV142" i="3"/>
  <c r="AS13" i="3"/>
  <c r="AX19" i="3"/>
  <c r="AX28" i="3"/>
  <c r="AW32" i="3"/>
  <c r="AW36" i="3"/>
  <c r="AW39" i="3"/>
  <c r="AV73" i="3"/>
  <c r="I81" i="3"/>
  <c r="AW82" i="3"/>
  <c r="AT81" i="3"/>
  <c r="AX85" i="3"/>
  <c r="BI88" i="3"/>
  <c r="AV89" i="3"/>
  <c r="AW101" i="3"/>
  <c r="AV113" i="3"/>
  <c r="AX117" i="3"/>
  <c r="AW137" i="3"/>
  <c r="BC121" i="3"/>
  <c r="AV121" i="3"/>
  <c r="I18" i="3"/>
  <c r="I12" i="3" s="1"/>
  <c r="BC28" i="3"/>
  <c r="AX32" i="3"/>
  <c r="BH35" i="3"/>
  <c r="AB35" i="3" s="1"/>
  <c r="AX39" i="3"/>
  <c r="BI43" i="3"/>
  <c r="I64" i="3"/>
  <c r="BH86" i="3"/>
  <c r="AD86" i="3" s="1"/>
  <c r="AW86" i="3"/>
  <c r="AW93" i="3"/>
  <c r="AX101" i="3"/>
  <c r="AW106" i="3"/>
  <c r="I109" i="3"/>
  <c r="BC133" i="3"/>
  <c r="AV133" i="3"/>
  <c r="BH157" i="3"/>
  <c r="AD157" i="3" s="1"/>
  <c r="AW157" i="3"/>
  <c r="AW77" i="3"/>
  <c r="BC19" i="3"/>
  <c r="BH40" i="3"/>
  <c r="AB40" i="3" s="1"/>
  <c r="AW40" i="3"/>
  <c r="BH47" i="3"/>
  <c r="AB47" i="3" s="1"/>
  <c r="AW60" i="3"/>
  <c r="BC65" i="3"/>
  <c r="AV122" i="3"/>
  <c r="I22" i="1"/>
  <c r="AX35" i="3"/>
  <c r="AV35" i="3" s="1"/>
  <c r="BH156" i="3"/>
  <c r="AD156" i="3" s="1"/>
  <c r="AW156" i="3"/>
  <c r="C21" i="1"/>
  <c r="BH14" i="3"/>
  <c r="AB14" i="3" s="1"/>
  <c r="AV26" i="3"/>
  <c r="AT33" i="3"/>
  <c r="I44" i="3"/>
  <c r="I30" i="3" s="1"/>
  <c r="AW70" i="3"/>
  <c r="AW78" i="3"/>
  <c r="AT90" i="3"/>
  <c r="AW98" i="3"/>
  <c r="AW102" i="3"/>
  <c r="AW110" i="3"/>
  <c r="AL119" i="3"/>
  <c r="AU118" i="3" s="1"/>
  <c r="BC138" i="3"/>
  <c r="AV138" i="3"/>
  <c r="BI150" i="3"/>
  <c r="AE150" i="3" s="1"/>
  <c r="AX150" i="3"/>
  <c r="BC150" i="3" s="1"/>
  <c r="AL16" i="3"/>
  <c r="AU15" i="3" s="1"/>
  <c r="AV23" i="3"/>
  <c r="AL34" i="3"/>
  <c r="AU33" i="3" s="1"/>
  <c r="AX70" i="3"/>
  <c r="BI93" i="3"/>
  <c r="AX110" i="3"/>
  <c r="BH123" i="3"/>
  <c r="AD123" i="3" s="1"/>
  <c r="AW123" i="3"/>
  <c r="AV127" i="3"/>
  <c r="AL135" i="3"/>
  <c r="AU134" i="3" s="1"/>
  <c r="BI139" i="3"/>
  <c r="AG139" i="3" s="1"/>
  <c r="C19" i="1" s="1"/>
  <c r="AX139" i="3"/>
  <c r="AV139" i="3" s="1"/>
  <c r="I149" i="3"/>
  <c r="I146" i="3" s="1"/>
  <c r="AW152" i="3"/>
  <c r="BH152" i="3"/>
  <c r="AD152" i="3" s="1"/>
  <c r="BH96" i="3"/>
  <c r="AD96" i="3" s="1"/>
  <c r="AW96" i="3"/>
  <c r="AW88" i="3"/>
  <c r="AW43" i="3"/>
  <c r="I25" i="3"/>
  <c r="BC26" i="3"/>
  <c r="BI36" i="3"/>
  <c r="AG36" i="3" s="1"/>
  <c r="AW37" i="3"/>
  <c r="AV49" i="3"/>
  <c r="BI82" i="3"/>
  <c r="AE82" i="3" s="1"/>
  <c r="C17" i="1" s="1"/>
  <c r="AW83" i="3"/>
  <c r="BH89" i="3"/>
  <c r="BH91" i="3"/>
  <c r="AD91" i="3" s="1"/>
  <c r="AW91" i="3"/>
  <c r="AT99" i="3"/>
  <c r="BI123" i="3"/>
  <c r="AE123" i="3" s="1"/>
  <c r="AX123" i="3"/>
  <c r="AV145" i="3"/>
  <c r="AV158" i="3"/>
  <c r="BH116" i="3"/>
  <c r="AD116" i="3" s="1"/>
  <c r="I22" i="3"/>
  <c r="AX45" i="3"/>
  <c r="AV45" i="3" s="1"/>
  <c r="BI65" i="3"/>
  <c r="AC65" i="3" s="1"/>
  <c r="AW66" i="3"/>
  <c r="AX74" i="3"/>
  <c r="BC74" i="3" s="1"/>
  <c r="BI78" i="3"/>
  <c r="AL100" i="3"/>
  <c r="AU99" i="3" s="1"/>
  <c r="AX114" i="3"/>
  <c r="BC114" i="3" s="1"/>
  <c r="AX141" i="3"/>
  <c r="BI141" i="3"/>
  <c r="AX24" i="3"/>
  <c r="BI27" i="3"/>
  <c r="F35" i="2"/>
  <c r="I35" i="2" s="1"/>
  <c r="I45" i="2" s="1"/>
  <c r="I24" i="1" s="1"/>
  <c r="AW20" i="3"/>
  <c r="AW29" i="3"/>
  <c r="AV34" i="3"/>
  <c r="BH46" i="3"/>
  <c r="AB46" i="3" s="1"/>
  <c r="AW46" i="3"/>
  <c r="AT54" i="3"/>
  <c r="BC71" i="3"/>
  <c r="BH76" i="3"/>
  <c r="AD76" i="3" s="1"/>
  <c r="C16" i="1" s="1"/>
  <c r="AW76" i="3"/>
  <c r="BC111" i="3"/>
  <c r="I126" i="3"/>
  <c r="I104" i="3" s="1"/>
  <c r="BH128" i="3"/>
  <c r="AB128" i="3" s="1"/>
  <c r="AW128" i="3"/>
  <c r="AV135" i="3"/>
  <c r="BC145" i="3"/>
  <c r="AW162" i="3"/>
  <c r="AL141" i="3"/>
  <c r="AU140" i="3" s="1"/>
  <c r="AL127" i="3"/>
  <c r="AU126" i="3" s="1"/>
  <c r="BC35" i="3" l="1"/>
  <c r="BC93" i="3"/>
  <c r="AV93" i="3"/>
  <c r="AV114" i="3"/>
  <c r="AV55" i="3"/>
  <c r="BC55" i="3"/>
  <c r="BC106" i="3"/>
  <c r="AV106" i="3"/>
  <c r="AV76" i="3"/>
  <c r="BC76" i="3"/>
  <c r="AV86" i="3"/>
  <c r="BC86" i="3"/>
  <c r="BC83" i="3"/>
  <c r="AV83" i="3"/>
  <c r="BC98" i="3"/>
  <c r="AV98" i="3"/>
  <c r="AV117" i="3"/>
  <c r="BC117" i="3"/>
  <c r="BC123" i="3"/>
  <c r="AV123" i="3"/>
  <c r="AV40" i="3"/>
  <c r="BC40" i="3"/>
  <c r="AV46" i="3"/>
  <c r="BC46" i="3"/>
  <c r="BC70" i="3"/>
  <c r="AV70" i="3"/>
  <c r="AV82" i="3"/>
  <c r="BC82" i="3"/>
  <c r="BC14" i="3"/>
  <c r="AV152" i="3"/>
  <c r="BC152" i="3"/>
  <c r="BC141" i="3"/>
  <c r="AV141" i="3"/>
  <c r="AV102" i="3"/>
  <c r="BC102" i="3"/>
  <c r="BC37" i="3"/>
  <c r="AV37" i="3"/>
  <c r="BC78" i="3"/>
  <c r="AV78" i="3"/>
  <c r="BC112" i="3"/>
  <c r="AV112" i="3"/>
  <c r="BC125" i="3"/>
  <c r="AV72" i="3"/>
  <c r="BC72" i="3"/>
  <c r="BC139" i="3"/>
  <c r="BC29" i="3"/>
  <c r="AV29" i="3"/>
  <c r="BC77" i="3"/>
  <c r="AV77" i="3"/>
  <c r="AV56" i="3"/>
  <c r="BC56" i="3"/>
  <c r="BC50" i="3"/>
  <c r="AV50" i="3"/>
  <c r="AV91" i="3"/>
  <c r="BC91" i="3"/>
  <c r="BC136" i="3"/>
  <c r="AV136" i="3"/>
  <c r="BC60" i="3"/>
  <c r="AV60" i="3"/>
  <c r="AV66" i="3"/>
  <c r="BC66" i="3"/>
  <c r="BC85" i="3"/>
  <c r="AV85" i="3"/>
  <c r="BC20" i="3"/>
  <c r="AV20" i="3"/>
  <c r="BC43" i="3"/>
  <c r="AV43" i="3"/>
  <c r="BC157" i="3"/>
  <c r="AV157" i="3"/>
  <c r="I17" i="3"/>
  <c r="BC39" i="3"/>
  <c r="AV39" i="3"/>
  <c r="BC24" i="3"/>
  <c r="AV24" i="3"/>
  <c r="BC101" i="3"/>
  <c r="AV101" i="3"/>
  <c r="C14" i="1"/>
  <c r="C22" i="1" s="1"/>
  <c r="AV36" i="3"/>
  <c r="BC36" i="3"/>
  <c r="BC88" i="3"/>
  <c r="AV88" i="3"/>
  <c r="C29" i="1"/>
  <c r="F29" i="1" s="1"/>
  <c r="AV96" i="3"/>
  <c r="BC96" i="3"/>
  <c r="BC156" i="3"/>
  <c r="AV156" i="3"/>
  <c r="AV150" i="3"/>
  <c r="BC110" i="3"/>
  <c r="AV110" i="3"/>
  <c r="BC162" i="3"/>
  <c r="AV162" i="3"/>
  <c r="BC32" i="3"/>
  <c r="AV32" i="3"/>
  <c r="AV128" i="3"/>
  <c r="BC128" i="3"/>
  <c r="AV137" i="3"/>
  <c r="BC137" i="3"/>
  <c r="I163" i="3"/>
  <c r="I28" i="1" l="1"/>
  <c r="I29" i="1" s="1"/>
</calcChain>
</file>

<file path=xl/sharedStrings.xml><?xml version="1.0" encoding="utf-8"?>
<sst xmlns="http://schemas.openxmlformats.org/spreadsheetml/2006/main" count="1859" uniqueCount="534">
  <si>
    <t>Krycí list slepého rozpočtu</t>
  </si>
  <si>
    <t>Název stavby:</t>
  </si>
  <si>
    <t>Objednatel:</t>
  </si>
  <si>
    <t>IČO/DIČ:</t>
  </si>
  <si>
    <t>70888337/CZ70888337</t>
  </si>
  <si>
    <t>Druh stavby:</t>
  </si>
  <si>
    <t>Projektant:</t>
  </si>
  <si>
    <t>07117043/CZ07117043</t>
  </si>
  <si>
    <t>Lokalita:</t>
  </si>
  <si>
    <t>Zhotovitel:</t>
  </si>
  <si>
    <t/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</si>
  <si>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</si>
  <si>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</si>
  <si>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</si>
  <si>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</si>
  <si>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</si>
  <si>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</si>
  <si>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</si>
  <si>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</si>
  <si>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</si>
  <si>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</si>
  <si>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</si>
  <si>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</si>
  <si>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</si>
  <si>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</si>
  <si>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</si>
  <si>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</si>
  <si>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</si>
  <si>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</si>
  <si>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</si>
  <si>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</si>
  <si>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</si>
  <si>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</si>
  <si>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</si>
  <si>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</si>
  <si>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</si>
  <si>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</si>
  <si>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</si>
  <si>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</si>
  <si>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</si>
  <si>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</si>
  <si>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</si>
  <si>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</si>
  <si>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</si>
  <si>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</si>
  <si>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</si>
  <si>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</si>
  <si>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</si>
  <si>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</si>
  <si>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</si>
  <si>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</si>
  <si>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</si>
  <si>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</si>
  <si>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</si>
  <si>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</si>
  <si>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</si>
  <si>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</si>
  <si>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</si>
  <si>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</si>
  <si>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</si>
  <si>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</si>
  <si>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</si>
  <si>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</si>
  <si>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</si>
  <si>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</si>
  <si>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</si>
  <si>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</si>
  <si>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</si>
  <si>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</si>
  <si>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</si>
  <si>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</si>
  <si>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</si>
  <si>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</si>
  <si>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</si>
  <si>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</si>
  <si>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</si>
  <si>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</si>
  <si>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</si>
  <si>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</t>
  </si>
  <si>
    <t>Doba výstavby:</t>
  </si>
  <si>
    <t xml:space="preserve"> </t>
  </si>
  <si>
    <t>Jihomoravský kraj</t>
  </si>
  <si>
    <t>Rekonstrukce střešního pláště na administrativní budově</t>
  </si>
  <si>
    <t>VS-ingline, s.r.o.</t>
  </si>
  <si>
    <t>U Vodárny 3032/2a, Královo Pole, 61600 Brno</t>
  </si>
  <si>
    <t>Není znám</t>
  </si>
  <si>
    <t>Zpracováno dne:</t>
  </si>
  <si>
    <t>31.08.2023</t>
  </si>
  <si>
    <t>Ing. Miloš Červený</t>
  </si>
  <si>
    <t>Č</t>
  </si>
  <si>
    <t>Objekt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</si>
  <si>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</si>
  <si>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</si>
  <si>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</si>
  <si>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</si>
  <si>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</si>
  <si>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</si>
  <si>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</si>
  <si>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</si>
  <si>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</si>
  <si>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</si>
  <si>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</si>
  <si>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</si>
  <si>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</si>
  <si>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</si>
  <si>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</si>
  <si>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</si>
  <si>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</si>
  <si>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</si>
  <si>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</si>
  <si>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</si>
  <si>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</si>
  <si>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</si>
  <si>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</si>
  <si>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</si>
  <si>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</si>
  <si>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</si>
  <si>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001</t>
  </si>
  <si>
    <t>Přípravné práce</t>
  </si>
  <si>
    <t>0</t>
  </si>
  <si>
    <t>Všeobecné konstrukce a práce</t>
  </si>
  <si>
    <t>1</t>
  </si>
  <si>
    <t>000002VD</t>
  </si>
  <si>
    <t>Ochrana stávajících povrchů při rekonstrukci (karton, obaly, papír, igelit...)</t>
  </si>
  <si>
    <t>soubor</t>
  </si>
  <si>
    <t>0_</t>
  </si>
  <si>
    <t>001_0_</t>
  </si>
  <si>
    <t>001_</t>
  </si>
  <si>
    <t>90</t>
  </si>
  <si>
    <t>Hodinové zúčtovací sazby (HZS)</t>
  </si>
  <si>
    <t>2</t>
  </si>
  <si>
    <t>9001VD</t>
  </si>
  <si>
    <t>Jeřáb - pronájem + obsluha, vč. polypropylenového vaku "big bag"</t>
  </si>
  <si>
    <t>Soubor</t>
  </si>
  <si>
    <t>90_</t>
  </si>
  <si>
    <t>001_9_</t>
  </si>
  <si>
    <t>VORN</t>
  </si>
  <si>
    <t>01VRN</t>
  </si>
  <si>
    <t>3</t>
  </si>
  <si>
    <t>011002VRN</t>
  </si>
  <si>
    <t>Průzkumy - ověření výztuže stropní desky a porovnání s projektem DSPS ze kterého vycházelo statické posouzení pro návrh nového pláště</t>
  </si>
  <si>
    <t>RTS I / 2023</t>
  </si>
  <si>
    <t>99</t>
  </si>
  <si>
    <t>01VRN_</t>
  </si>
  <si>
    <t>001_Â _</t>
  </si>
  <si>
    <t>4</t>
  </si>
  <si>
    <t>Průzkumy - Odtrhová zkouška</t>
  </si>
  <si>
    <t>5</t>
  </si>
  <si>
    <t>Průzkumy - měření vlhkosti stropní konstrukce před zaklopením</t>
  </si>
  <si>
    <t>RTS II / 2023</t>
  </si>
  <si>
    <t>02VRN</t>
  </si>
  <si>
    <t>6</t>
  </si>
  <si>
    <t>020001VRN</t>
  </si>
  <si>
    <t>02VRN_</t>
  </si>
  <si>
    <t>7</t>
  </si>
  <si>
    <t>021002VRN</t>
  </si>
  <si>
    <t>Zabezpečovací práce</t>
  </si>
  <si>
    <t>03VRN</t>
  </si>
  <si>
    <t>8</t>
  </si>
  <si>
    <t>030001VRN</t>
  </si>
  <si>
    <t>03VRN_</t>
  </si>
  <si>
    <t>9</t>
  </si>
  <si>
    <t>033002VRN</t>
  </si>
  <si>
    <t>Připojení na energie a jejich spotřeba</t>
  </si>
  <si>
    <t>10</t>
  </si>
  <si>
    <t>034002VRN</t>
  </si>
  <si>
    <t>Zabezpečení staveniště</t>
  </si>
  <si>
    <t>11</t>
  </si>
  <si>
    <t>039002VRN</t>
  </si>
  <si>
    <t>Odstranění zařízení staveniště</t>
  </si>
  <si>
    <t>002</t>
  </si>
  <si>
    <t>Demontáže</t>
  </si>
  <si>
    <t>783</t>
  </si>
  <si>
    <t>Nátěry</t>
  </si>
  <si>
    <t>12</t>
  </si>
  <si>
    <t>783101841R18</t>
  </si>
  <si>
    <t>Odstranění nátěrů z betonových konstrukcí oškrábáním</t>
  </si>
  <si>
    <t>m2</t>
  </si>
  <si>
    <t>783_</t>
  </si>
  <si>
    <t>002_78_</t>
  </si>
  <si>
    <t>002_</t>
  </si>
  <si>
    <t>96</t>
  </si>
  <si>
    <t>Bourání konstrukcí</t>
  </si>
  <si>
    <t>13</t>
  </si>
  <si>
    <t>113106121R00</t>
  </si>
  <si>
    <t>Rozebrání dlažeb z betonových dlaždic na sucho v praném kamenivu</t>
  </si>
  <si>
    <t>96_</t>
  </si>
  <si>
    <t>002_9_</t>
  </si>
  <si>
    <t>14</t>
  </si>
  <si>
    <t>764900020RAA</t>
  </si>
  <si>
    <t>Demontáž oplechování z plechu pozinkovaného</t>
  </si>
  <si>
    <t>m</t>
  </si>
  <si>
    <t>15</t>
  </si>
  <si>
    <t>222130012R00.1</t>
  </si>
  <si>
    <t>Demont vedení uzem. FeZn do D 12 mm</t>
  </si>
  <si>
    <t>16</t>
  </si>
  <si>
    <t>965200021RAB</t>
  </si>
  <si>
    <t>Odstranění násypů na střechách - prané kamenivo</t>
  </si>
  <si>
    <t>m3</t>
  </si>
  <si>
    <t>17</t>
  </si>
  <si>
    <t>721210823R00</t>
  </si>
  <si>
    <t>Demontáž střešní vpusti</t>
  </si>
  <si>
    <t>kus</t>
  </si>
  <si>
    <t>18</t>
  </si>
  <si>
    <t>713104313R00</t>
  </si>
  <si>
    <t>Odstranění tepelné izolace střech plochých, lepené, z desek EPS, tl. nad 200 mm</t>
  </si>
  <si>
    <t>19</t>
  </si>
  <si>
    <t>712300833RT3</t>
  </si>
  <si>
    <t>Odstranění povlakové krytiny střech do 10°, 3 vrstvy</t>
  </si>
  <si>
    <t>Varianta:</t>
  </si>
  <si>
    <t>z ploch jednotlivě nad 20 m2</t>
  </si>
  <si>
    <t>20</t>
  </si>
  <si>
    <t>979082212R00</t>
  </si>
  <si>
    <t>Vodorovný přesun suti po suchu do 50 m</t>
  </si>
  <si>
    <t>t</t>
  </si>
  <si>
    <t>21</t>
  </si>
  <si>
    <t>979087312R00</t>
  </si>
  <si>
    <t>Vodorovné přemístění vyb. hmot nošením do 10 m</t>
  </si>
  <si>
    <t>97</t>
  </si>
  <si>
    <t>Prorážení otvorů a ostatní bourací práce</t>
  </si>
  <si>
    <t>22</t>
  </si>
  <si>
    <t>979011331R00</t>
  </si>
  <si>
    <t>Pronájem shozu  (za metr)</t>
  </si>
  <si>
    <t>den</t>
  </si>
  <si>
    <t>97_</t>
  </si>
  <si>
    <t>23</t>
  </si>
  <si>
    <t>979011321R00</t>
  </si>
  <si>
    <t>Montáž a demontáž shozu za 2.NP</t>
  </si>
  <si>
    <t>24</t>
  </si>
  <si>
    <t>979011329R00</t>
  </si>
  <si>
    <t>Přípl. k mont.a dem. shozu za každé další podlaží</t>
  </si>
  <si>
    <t>podlaž</t>
  </si>
  <si>
    <t>S</t>
  </si>
  <si>
    <t>Přesuny sutí</t>
  </si>
  <si>
    <t>25</t>
  </si>
  <si>
    <t>979011311R00</t>
  </si>
  <si>
    <t>Svislá doprava suti a vybouraných hmot shozem</t>
  </si>
  <si>
    <t>S_</t>
  </si>
  <si>
    <t>26</t>
  </si>
  <si>
    <t>979981104R00</t>
  </si>
  <si>
    <t>Kontejner, přistavení na 24 h, odvoz a likvidace, kapacita 9 t</t>
  </si>
  <si>
    <t>003</t>
  </si>
  <si>
    <t>Demontáže TZB</t>
  </si>
  <si>
    <t>721</t>
  </si>
  <si>
    <t>Vnitřní kanalizace</t>
  </si>
  <si>
    <t>27</t>
  </si>
  <si>
    <t>721171809R00</t>
  </si>
  <si>
    <t>Demontáž potrubí z PVC/PP do D 160 mm</t>
  </si>
  <si>
    <t>721_</t>
  </si>
  <si>
    <t>003_72_</t>
  </si>
  <si>
    <t>003_</t>
  </si>
  <si>
    <t>728</t>
  </si>
  <si>
    <t>Vzduchotechnika</t>
  </si>
  <si>
    <t>28</t>
  </si>
  <si>
    <t>728111824R00</t>
  </si>
  <si>
    <t>Demontáž potrubí plechového čtyřhranného do 1,56 m2</t>
  </si>
  <si>
    <t>728_</t>
  </si>
  <si>
    <t>29</t>
  </si>
  <si>
    <t>728111825R00</t>
  </si>
  <si>
    <t>Demontáž potrubí plechového čtyřhranného do 2,00 m2</t>
  </si>
  <si>
    <t>731</t>
  </si>
  <si>
    <t>Kotelny</t>
  </si>
  <si>
    <t>30</t>
  </si>
  <si>
    <t>731391814R00</t>
  </si>
  <si>
    <t>Vypouštění vody ze systému samospádem</t>
  </si>
  <si>
    <t>731_</t>
  </si>
  <si>
    <t>003_73_</t>
  </si>
  <si>
    <t>M65</t>
  </si>
  <si>
    <t>Elektroinstalace</t>
  </si>
  <si>
    <t>31</t>
  </si>
  <si>
    <t>650711111R00</t>
  </si>
  <si>
    <t>Demontáž kabelového žlabu / lávky do š. 300 mm</t>
  </si>
  <si>
    <t>M65_</t>
  </si>
  <si>
    <t>003_9_</t>
  </si>
  <si>
    <t>004</t>
  </si>
  <si>
    <t>Montáže</t>
  </si>
  <si>
    <t>Základy</t>
  </si>
  <si>
    <t>32</t>
  </si>
  <si>
    <t>278320040RAA</t>
  </si>
  <si>
    <t>Základy pod stroje a zařízení ŽB z betonu C 20/25, výztuž 120 kg/m3, 0,6x0,6x0,3m ,kompletní provedení</t>
  </si>
  <si>
    <t>27_</t>
  </si>
  <si>
    <t>004_2_</t>
  </si>
  <si>
    <t>004_</t>
  </si>
  <si>
    <t>63</t>
  </si>
  <si>
    <t>Podlahy a podlahové konstrukce</t>
  </si>
  <si>
    <t>33</t>
  </si>
  <si>
    <t>639571210R00</t>
  </si>
  <si>
    <t>Kačírek pro okrajové zóny a servisní trasy</t>
  </si>
  <si>
    <t>63_</t>
  </si>
  <si>
    <t>004_6_</t>
  </si>
  <si>
    <t>34</t>
  </si>
  <si>
    <t>639001VD</t>
  </si>
  <si>
    <t>Kačírková lišta 130x120 mm</t>
  </si>
  <si>
    <t>711</t>
  </si>
  <si>
    <t>Izolace proti vodě</t>
  </si>
  <si>
    <t>35</t>
  </si>
  <si>
    <t>711141559RY2</t>
  </si>
  <si>
    <t>Provedení izolace proti vlhkosti na ploše vodorovné, asfaltovými pásy přitavením</t>
  </si>
  <si>
    <t>711_</t>
  </si>
  <si>
    <t>004_71_</t>
  </si>
  <si>
    <t>1 vrstva - včetně dod. Glastek 40 special mineral</t>
  </si>
  <si>
    <t>36</t>
  </si>
  <si>
    <t>451971112R00</t>
  </si>
  <si>
    <t>Položení vrstvy z geotextilie 200g/m2</t>
  </si>
  <si>
    <t>37</t>
  </si>
  <si>
    <t>289970111R00</t>
  </si>
  <si>
    <t>Vrstva geotextilie 300g/m2</t>
  </si>
  <si>
    <t>38</t>
  </si>
  <si>
    <t>289001VD</t>
  </si>
  <si>
    <t>Profilovaná fólie s perforací, drenážní, T20 Garden 1000g/m2</t>
  </si>
  <si>
    <t>39</t>
  </si>
  <si>
    <t>712811101RZ2</t>
  </si>
  <si>
    <t>Provedení 2x penetračního nátěru - včetně dodávky asfaltového penetračního nátěru</t>
  </si>
  <si>
    <t>40</t>
  </si>
  <si>
    <t>711142559RY2</t>
  </si>
  <si>
    <t>Provedení izolace proti vlhkosti na ploše svislé, asfaltovými pásy přitavením</t>
  </si>
  <si>
    <t>41</t>
  </si>
  <si>
    <t>711801003RT5</t>
  </si>
  <si>
    <t>Hydroizolace pro zelené střechy, ochranná textilie, fólie 2,0 mm + atiky</t>
  </si>
  <si>
    <t>42</t>
  </si>
  <si>
    <t>712472101R00</t>
  </si>
  <si>
    <t>Kotvení povlakové krytiny střech, PVC (průměr 9 kotev/m2)</t>
  </si>
  <si>
    <t>43</t>
  </si>
  <si>
    <t>998711203R00</t>
  </si>
  <si>
    <t>Přesun hmot pro izolace proti vodě, výšky do 60 m</t>
  </si>
  <si>
    <t>712</t>
  </si>
  <si>
    <t>Izolace střech (živičné krytiny)</t>
  </si>
  <si>
    <t>44</t>
  </si>
  <si>
    <t>712378105RT4</t>
  </si>
  <si>
    <t>Povlaková krytina střech do 10°, fólie, prostup parozábranou s manžetou PVC</t>
  </si>
  <si>
    <t>712_</t>
  </si>
  <si>
    <t>713</t>
  </si>
  <si>
    <t>Izolace tepelné</t>
  </si>
  <si>
    <t>45</t>
  </si>
  <si>
    <t>713141337R00</t>
  </si>
  <si>
    <t>Montáž tepelné izolace střech tl. 330 mm, 3 vrstvy, poslední kotvená</t>
  </si>
  <si>
    <t>713_</t>
  </si>
  <si>
    <t>46</t>
  </si>
  <si>
    <t>28375972</t>
  </si>
  <si>
    <t>Deska spádová EPS 150 BACHL</t>
  </si>
  <si>
    <t>47</t>
  </si>
  <si>
    <t>2837589100</t>
  </si>
  <si>
    <t>Deska izolační polystyrenová pro ploché střechy tl. 200 mm</t>
  </si>
  <si>
    <t>48</t>
  </si>
  <si>
    <t>283758904</t>
  </si>
  <si>
    <t>Deska izolační polystyrenová pro ploché střechy tl. 80 mm</t>
  </si>
  <si>
    <t>49</t>
  </si>
  <si>
    <t>622315564R00.1</t>
  </si>
  <si>
    <t>Izolace atiky, vodorovná, XPS tl. 50 mm</t>
  </si>
  <si>
    <t>50</t>
  </si>
  <si>
    <t>622323110R13</t>
  </si>
  <si>
    <t>Izolace atiky, svislá, EPS tl. 50 mm (vč. soklu)</t>
  </si>
  <si>
    <t>51</t>
  </si>
  <si>
    <t>998713203R00</t>
  </si>
  <si>
    <t>Přesun hmot pro izolace tepelné, výšky do 24 m</t>
  </si>
  <si>
    <t>52</t>
  </si>
  <si>
    <t>998713292R00</t>
  </si>
  <si>
    <t>Příplatek zvětšený přesun, izolace tepelné do 100 m</t>
  </si>
  <si>
    <t>767</t>
  </si>
  <si>
    <t>Konstrukce doplňkové stavební (zámečnické)</t>
  </si>
  <si>
    <t>53</t>
  </si>
  <si>
    <t>767422111R00</t>
  </si>
  <si>
    <t>Montáž opláštění - oplechování atiky (závětrná lišta, spádový profil,..)</t>
  </si>
  <si>
    <t>767_</t>
  </si>
  <si>
    <t>004_76_</t>
  </si>
  <si>
    <t>54</t>
  </si>
  <si>
    <t>767842380RT1</t>
  </si>
  <si>
    <t>Kotvicí bod nerez, beton.střech na chemické kotvy, typ TSL BSR10-A + revize + tahová zkouška</t>
  </si>
  <si>
    <t>55</t>
  </si>
  <si>
    <t>998767293R00</t>
  </si>
  <si>
    <t>Příplatek za zvětšený přesun, zámečnické konstrukce do 500 m</t>
  </si>
  <si>
    <t>56</t>
  </si>
  <si>
    <t>998767203R00</t>
  </si>
  <si>
    <t>Přesun hmot pro zámečnické konstr., výšky do 24 m</t>
  </si>
  <si>
    <t>777</t>
  </si>
  <si>
    <t>Podlahy ze syntetických hmot</t>
  </si>
  <si>
    <t>57</t>
  </si>
  <si>
    <t>777812222R00</t>
  </si>
  <si>
    <t>Epoxid.systém na bázi pryskyřice pro exteriér (podstavec pod VZT)</t>
  </si>
  <si>
    <t>777_</t>
  </si>
  <si>
    <t>004_77_</t>
  </si>
  <si>
    <t>95</t>
  </si>
  <si>
    <t>Různé dokončovací konstrukce a práce na pozemních stavbách</t>
  </si>
  <si>
    <t>58</t>
  </si>
  <si>
    <t>953921115R00</t>
  </si>
  <si>
    <t>Dlaždice betonové volně na střechu, 50 x 50 x 6 cm</t>
  </si>
  <si>
    <t>95_</t>
  </si>
  <si>
    <t>004_9_</t>
  </si>
  <si>
    <t>M</t>
  </si>
  <si>
    <t>59</t>
  </si>
  <si>
    <t>10371520</t>
  </si>
  <si>
    <t>Substrát střešní extenzivní 60 mm</t>
  </si>
  <si>
    <t>Z99999_</t>
  </si>
  <si>
    <t>004_Z_</t>
  </si>
  <si>
    <t>60</t>
  </si>
  <si>
    <t>00590010</t>
  </si>
  <si>
    <t>Rozchodníkový koberec/rohož S5</t>
  </si>
  <si>
    <t>61</t>
  </si>
  <si>
    <t>55326106</t>
  </si>
  <si>
    <t>Lišta závětrná VIPLANYL, poplastovaný plech</t>
  </si>
  <si>
    <t>62</t>
  </si>
  <si>
    <t>553449287</t>
  </si>
  <si>
    <t>Profil atikový spádový</t>
  </si>
  <si>
    <t>005</t>
  </si>
  <si>
    <t>Montáže TZB</t>
  </si>
  <si>
    <t>000732001VD</t>
  </si>
  <si>
    <t>Komplexní zaregulování a spuštění systému</t>
  </si>
  <si>
    <t>hodina</t>
  </si>
  <si>
    <t>005_0_</t>
  </si>
  <si>
    <t>005_</t>
  </si>
  <si>
    <t>Různé kompletní konstrukce nedělitelné do stav. dílů</t>
  </si>
  <si>
    <t>64</t>
  </si>
  <si>
    <t>388991111R00</t>
  </si>
  <si>
    <t>Chránička kabelu z LPE d 16 mm</t>
  </si>
  <si>
    <t>38_</t>
  </si>
  <si>
    <t>005_3_</t>
  </si>
  <si>
    <t>65</t>
  </si>
  <si>
    <t>721231176RT4</t>
  </si>
  <si>
    <t>Vtok střešní TW, v zelené střeše, zateplená střecha, průměr 125 mm</t>
  </si>
  <si>
    <t>005_72_</t>
  </si>
  <si>
    <t>66</t>
  </si>
  <si>
    <t>721273150R00</t>
  </si>
  <si>
    <t>Hlavice ventilační přivětrávací HL</t>
  </si>
  <si>
    <t>67</t>
  </si>
  <si>
    <t>721170965R00</t>
  </si>
  <si>
    <t>Provedení opravy vnitřní kanalizace, potrubí plastové, propojení dosavadního potrubí, D 110 mm</t>
  </si>
  <si>
    <t>68</t>
  </si>
  <si>
    <t>721177703R00</t>
  </si>
  <si>
    <t>Potrubí plastové, D 50 x 2,1 mm, UV stabilní</t>
  </si>
  <si>
    <t>69</t>
  </si>
  <si>
    <t>721177715R00</t>
  </si>
  <si>
    <t>Potrubí odpadní svislé, větrací, D 110 x 3,6 mm, UV stabilní</t>
  </si>
  <si>
    <t>70</t>
  </si>
  <si>
    <t>728111124R00</t>
  </si>
  <si>
    <t>Montáž potrubí plechového čtyřhranného do 1,56 m2</t>
  </si>
  <si>
    <t>71</t>
  </si>
  <si>
    <t>728111125R00</t>
  </si>
  <si>
    <t>Montáž potrubí plechového čtyřhranného do 2,00 m2</t>
  </si>
  <si>
    <t>72</t>
  </si>
  <si>
    <t>731191945R00</t>
  </si>
  <si>
    <t>Napuštění systému po montáži</t>
  </si>
  <si>
    <t>005_73_</t>
  </si>
  <si>
    <t>733</t>
  </si>
  <si>
    <t>Rozvod potrubí</t>
  </si>
  <si>
    <t>73</t>
  </si>
  <si>
    <t>733193810R00</t>
  </si>
  <si>
    <t>Rozřezání konzol pro potrubí z úhel.L 50x50x5 mm</t>
  </si>
  <si>
    <t>733_</t>
  </si>
  <si>
    <t>74</t>
  </si>
  <si>
    <t>733193918R00</t>
  </si>
  <si>
    <t>Oprava-řezání a zaslepení potrubí D 57 mm</t>
  </si>
  <si>
    <t>75</t>
  </si>
  <si>
    <t>733192918R00</t>
  </si>
  <si>
    <t>Oprava-montáž potrubí hladkých D 57 mm</t>
  </si>
  <si>
    <t>76</t>
  </si>
  <si>
    <t>001VSVD</t>
  </si>
  <si>
    <t>Montáž tepelné izolace - trubice</t>
  </si>
  <si>
    <t>77</t>
  </si>
  <si>
    <t>631547419</t>
  </si>
  <si>
    <t>Pouzdro potrubní izolační ROCKWOOL 800  60/60 mm</t>
  </si>
  <si>
    <t>78</t>
  </si>
  <si>
    <t>905      R01</t>
  </si>
  <si>
    <t>Hzs-revize - elektroinstalace</t>
  </si>
  <si>
    <t>005_9_</t>
  </si>
  <si>
    <t>79</t>
  </si>
  <si>
    <t>Hzs-revize - funkční zkouška VZT</t>
  </si>
  <si>
    <t>h</t>
  </si>
  <si>
    <t>Revize</t>
  </si>
  <si>
    <t>80</t>
  </si>
  <si>
    <t>Hzs-revize - tlaková zkouška topného potrubí</t>
  </si>
  <si>
    <t>M21</t>
  </si>
  <si>
    <t>Elektromontáže</t>
  </si>
  <si>
    <t>81</t>
  </si>
  <si>
    <t>210200020RAB</t>
  </si>
  <si>
    <t>Bleskosvod - vedení, revize, svorky,</t>
  </si>
  <si>
    <t>kompl</t>
  </si>
  <si>
    <t>M21_</t>
  </si>
  <si>
    <t>M22</t>
  </si>
  <si>
    <t>Montáže sdělovací a zabezpečovací techniky</t>
  </si>
  <si>
    <t>82</t>
  </si>
  <si>
    <t>222730161R00</t>
  </si>
  <si>
    <t>Přesun a montáž/demontáž antény</t>
  </si>
  <si>
    <t>M22_</t>
  </si>
  <si>
    <t>83</t>
  </si>
  <si>
    <t>220264111R00</t>
  </si>
  <si>
    <t>Kabel.žlab drátěný s integr.spojkou DZI 60x60 mm</t>
  </si>
  <si>
    <t>84</t>
  </si>
  <si>
    <t>220264114R00</t>
  </si>
  <si>
    <t>Kabel.žlab drátěný s integr.spojkou DZI 60x200 mm</t>
  </si>
  <si>
    <t>85</t>
  </si>
  <si>
    <t>222280807R00</t>
  </si>
  <si>
    <t>Kabel do 3,5 kg/m do žlabu</t>
  </si>
  <si>
    <t>86</t>
  </si>
  <si>
    <t>650011372R00</t>
  </si>
  <si>
    <t>Montáž víka kabelového žlabu šířky do 200</t>
  </si>
  <si>
    <t>87</t>
  </si>
  <si>
    <t>553523115</t>
  </si>
  <si>
    <t>Koleno výtokové 72° pozink-lak</t>
  </si>
  <si>
    <t>005_Z_</t>
  </si>
  <si>
    <t>88</t>
  </si>
  <si>
    <t>48471631</t>
  </si>
  <si>
    <t>Směs nemrznoucí pro topné systémy</t>
  </si>
  <si>
    <t>006</t>
  </si>
  <si>
    <t>Dokončovací práce</t>
  </si>
  <si>
    <t>Ostatní konstrukce a práce PSV</t>
  </si>
  <si>
    <t>89</t>
  </si>
  <si>
    <t>79001VD</t>
  </si>
  <si>
    <t>Úklid dotčených vnitřních i venkovnícvh prostor po dokončení montáže</t>
  </si>
  <si>
    <t>79_</t>
  </si>
  <si>
    <t>006_79_</t>
  </si>
  <si>
    <t>006_</t>
  </si>
  <si>
    <t>007</t>
  </si>
  <si>
    <t>Střecha nad 6NP</t>
  </si>
  <si>
    <t>053411311RAH</t>
  </si>
  <si>
    <t>Vytažení krytiny na atiku, z fólie PVC</t>
  </si>
  <si>
    <t>007_0_</t>
  </si>
  <si>
    <t>007_</t>
  </si>
  <si>
    <t>91</t>
  </si>
  <si>
    <t>007_71_</t>
  </si>
  <si>
    <t>92</t>
  </si>
  <si>
    <t>712371801RZ5</t>
  </si>
  <si>
    <t>Provedení povlakové krytiny střech do 10°, fólií PVC, vč. dodávky folie</t>
  </si>
  <si>
    <t>1 vrstva - včetně dodávky fólie Fatrafol 804 tl. 2,0 mm</t>
  </si>
  <si>
    <t>93</t>
  </si>
  <si>
    <t>Kotvení povlakové krytiny střech, PVC</t>
  </si>
  <si>
    <t>94</t>
  </si>
  <si>
    <t>98</t>
  </si>
  <si>
    <t>210220460R00</t>
  </si>
  <si>
    <t>Montáž pevného žebříku na střechu do 7 m výšky</t>
  </si>
  <si>
    <t>007_9_</t>
  </si>
  <si>
    <t>553539032</t>
  </si>
  <si>
    <t>Žebřík s přímým výstupem, pozink</t>
  </si>
  <si>
    <t>007_Z_</t>
  </si>
  <si>
    <t xml:space="preserve">Rekonstrukce střechy na budově JIC-INTECH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</si>
</sst>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0" fillId="0" borderId="63" xfId="0" applyBorder="1"/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4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0" fillId="0" borderId="70" xfId="0" applyBorder="1"/>
    <xf numFmtId="0" fontId="2" fillId="2" borderId="71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4" fontId="3" fillId="2" borderId="40" xfId="0" applyNumberFormat="1" applyFont="1" applyFill="1" applyBorder="1" applyAlignment="1">
      <alignment horizontal="right" vertical="center"/>
    </xf>
    <xf numFmtId="0" fontId="3" fillId="2" borderId="40" xfId="0" applyFont="1" applyFill="1" applyBorder="1" applyAlignment="1">
      <alignment horizontal="right" vertical="center"/>
    </xf>
    <xf numFmtId="0" fontId="0" fillId="0" borderId="6" xfId="0" applyBorder="1"/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0" fillId="0" borderId="9" xfId="0" applyBorder="1"/>
    <xf numFmtId="4" fontId="3" fillId="0" borderId="72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workbookViewId="0">
      <selection activeCell="J8" sqref="J8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7.109375" customWidth="1"/>
    <col min="4" max="4" width="10" customWidth="1"/>
    <col min="5" max="5" width="14" customWidth="1"/>
    <col min="6" max="6" width="27.109375" customWidth="1"/>
    <col min="7" max="7" width="9.109375" customWidth="1"/>
    <col min="8" max="8" width="12.88671875" customWidth="1"/>
    <col min="9" max="9" width="27.109375" customWidth="1"/>
  </cols>
  <sheetData>
    <row r="1" spans="1:9" ht="54.75" customHeight="1" x14ac:dyDescent="0.3">
      <c r="A1" s="106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 ht="14.4" x14ac:dyDescent="0.3">
      <c r="A2" s="108" t="s">
        <v>1</v>
      </c>
      <c r="B2" s="109"/>
      <c r="C2" s="103" t="str">
        <f>'Stavební rozpočet'!D2</f>
        <v xml:space="preserve">Rekonstrukce střechy na budově JIC-INTECH 2 </v>
      </c>
      <c r="D2" s="104"/>
      <c r="E2" s="100" t="s">
        <v>2</v>
      </c>
      <c r="F2" s="100" t="str">
        <f>'Stavební rozpočet'!J2</f>
        <v>Jihomoravský kraj</v>
      </c>
      <c r="G2" s="109"/>
      <c r="H2" s="100" t="s">
        <v>3</v>
      </c>
      <c r="I2" s="111" t="s">
        <v>4</v>
      </c>
    </row>
    <row r="3" spans="1:9" ht="15" customHeight="1" x14ac:dyDescent="0.3">
      <c r="A3" s="110"/>
      <c r="B3" s="63"/>
      <c r="C3" s="105"/>
      <c r="D3" s="105"/>
      <c r="E3" s="63"/>
      <c r="F3" s="63"/>
      <c r="G3" s="63"/>
      <c r="H3" s="63"/>
      <c r="I3" s="112"/>
    </row>
    <row r="4" spans="1:9" ht="14.4" x14ac:dyDescent="0.3">
      <c r="A4" s="101" t="s">
        <v>5</v>
      </c>
      <c r="B4" s="63"/>
      <c r="C4" s="62" t="str">
        <f>'Stavební rozpočet'!D4</f>
        <v>Rekonstrukce střešního pláště na administrativní budově</v>
      </c>
      <c r="D4" s="63"/>
      <c r="E4" s="62" t="s">
        <v>6</v>
      </c>
      <c r="F4" s="62" t="str">
        <f>'Stavební rozpočet'!J4</f>
        <v>VS-ingline, s.r.o.</v>
      </c>
      <c r="G4" s="63"/>
      <c r="H4" s="62" t="s">
        <v>3</v>
      </c>
      <c r="I4" s="112" t="s">
        <v>7</v>
      </c>
    </row>
    <row r="5" spans="1:9" ht="15" customHeight="1" x14ac:dyDescent="0.3">
      <c r="A5" s="110"/>
      <c r="B5" s="63"/>
      <c r="C5" s="63"/>
      <c r="D5" s="63"/>
      <c r="E5" s="63"/>
      <c r="F5" s="63"/>
      <c r="G5" s="63"/>
      <c r="H5" s="63"/>
      <c r="I5" s="112"/>
    </row>
    <row r="6" spans="1:9" ht="14.4" x14ac:dyDescent="0.3">
      <c r="A6" s="101" t="s">
        <v>8</v>
      </c>
      <c r="B6" s="63"/>
      <c r="C6" s="62" t="str">
        <f>'Stavební rozpočet'!D6</f>
        <v>U Vodárny 3032/2a, Královo Pole, 61600 Brno</v>
      </c>
      <c r="D6" s="63"/>
      <c r="E6" s="62" t="s">
        <v>9</v>
      </c>
      <c r="F6" s="62" t="str">
        <f>'Stavební rozpočet'!J6</f>
        <v>Není znám</v>
      </c>
      <c r="G6" s="63"/>
      <c r="H6" s="62" t="s">
        <v>3</v>
      </c>
      <c r="I6" s="112" t="s">
        <v>10</v>
      </c>
    </row>
    <row r="7" spans="1:9" ht="15" customHeight="1" x14ac:dyDescent="0.3">
      <c r="A7" s="110"/>
      <c r="B7" s="63"/>
      <c r="C7" s="63"/>
      <c r="D7" s="63"/>
      <c r="E7" s="63"/>
      <c r="F7" s="63"/>
      <c r="G7" s="63"/>
      <c r="H7" s="63"/>
      <c r="I7" s="112"/>
    </row>
    <row r="8" spans="1:9" ht="14.4" x14ac:dyDescent="0.3">
      <c r="A8" s="101" t="s">
        <v>11</v>
      </c>
      <c r="B8" s="63"/>
      <c r="C8" s="62"/>
      <c r="D8" s="63"/>
      <c r="E8" s="62" t="s">
        <v>12</v>
      </c>
      <c r="F8" s="62" t="str">
        <f>'Stavební rozpočet'!H6</f>
        <v xml:space="preserve"> </v>
      </c>
      <c r="G8" s="63"/>
      <c r="H8" s="63" t="s">
        <v>13</v>
      </c>
      <c r="I8" s="113">
        <v>99</v>
      </c>
    </row>
    <row r="9" spans="1:9" ht="14.4" x14ac:dyDescent="0.3">
      <c r="A9" s="110"/>
      <c r="B9" s="63"/>
      <c r="C9" s="63"/>
      <c r="D9" s="63"/>
      <c r="E9" s="63"/>
      <c r="F9" s="63"/>
      <c r="G9" s="63"/>
      <c r="H9" s="63"/>
      <c r="I9" s="112"/>
    </row>
    <row r="10" spans="1:9" ht="14.4" x14ac:dyDescent="0.3">
      <c r="A10" s="101" t="s">
        <v>14</v>
      </c>
      <c r="B10" s="63"/>
      <c r="C10" s="62" t="str">
        <f>'Stavební rozpočet'!D8</f>
        <v xml:space="preserve"> </v>
      </c>
      <c r="D10" s="63"/>
      <c r="E10" s="62" t="s">
        <v>15</v>
      </c>
      <c r="F10" s="62" t="str">
        <f>'Stavební rozpočet'!J8</f>
        <v>Ing. Miloš Červený</v>
      </c>
      <c r="G10" s="63"/>
      <c r="H10" s="63" t="s">
        <v>16</v>
      </c>
      <c r="I10" s="94" t="str">
        <f>'Stavební rozpočet'!H8</f>
        <v>31.08.2023</v>
      </c>
    </row>
    <row r="11" spans="1:9" ht="14.4" x14ac:dyDescent="0.3">
      <c r="A11" s="102"/>
      <c r="B11" s="99"/>
      <c r="C11" s="99"/>
      <c r="D11" s="99"/>
      <c r="E11" s="99"/>
      <c r="F11" s="99"/>
      <c r="G11" s="99"/>
      <c r="H11" s="99"/>
      <c r="I11" s="95"/>
    </row>
    <row r="12" spans="1:9" ht="22.8" x14ac:dyDescent="0.3">
      <c r="A12" s="96" t="s">
        <v>17</v>
      </c>
      <c r="B12" s="96"/>
      <c r="C12" s="96"/>
      <c r="D12" s="96"/>
      <c r="E12" s="96"/>
      <c r="F12" s="96"/>
      <c r="G12" s="96"/>
      <c r="H12" s="96"/>
      <c r="I12" s="96"/>
    </row>
    <row r="13" spans="1:9" ht="26.25" customHeight="1" x14ac:dyDescent="0.3">
      <c r="A13" s="6" t="s">
        <v>18</v>
      </c>
      <c r="B13" s="97" t="s">
        <v>19</v>
      </c>
      <c r="C13" s="98"/>
      <c r="D13" s="7" t="s">
        <v>20</v>
      </c>
      <c r="E13" s="97" t="s">
        <v>21</v>
      </c>
      <c r="F13" s="98"/>
      <c r="G13" s="7" t="s">
        <v>22</v>
      </c>
      <c r="H13" s="97" t="s">
        <v>23</v>
      </c>
      <c r="I13" s="98"/>
    </row>
    <row r="14" spans="1:9" ht="15.6" x14ac:dyDescent="0.3">
      <c r="A14" s="8" t="s">
        <v>24</v>
      </c>
      <c r="B14" s="9" t="s">
        <v>25</v>
      </c>
      <c r="C14" s="10">
        <f>SUM('Stavební rozpočet'!AB12:AB162)</f>
        <v>0</v>
      </c>
      <c r="D14" s="84" t="s">
        <v>26</v>
      </c>
      <c r="E14" s="85"/>
      <c r="F14" s="10">
        <f>VORN!I15</f>
        <v>0</v>
      </c>
      <c r="G14" s="84" t="s">
        <v>27</v>
      </c>
      <c r="H14" s="85"/>
      <c r="I14" s="11">
        <f>VORN!I21</f>
        <v>0</v>
      </c>
    </row>
    <row r="15" spans="1:9" ht="15.6" x14ac:dyDescent="0.3">
      <c r="A15" s="12" t="s">
        <v>10</v>
      </c>
      <c r="B15" s="9" t="s">
        <v>28</v>
      </c>
      <c r="C15" s="10">
        <f>SUM('Stavební rozpočet'!AC12:AC162)</f>
        <v>0</v>
      </c>
      <c r="D15" s="84" t="s">
        <v>29</v>
      </c>
      <c r="E15" s="85"/>
      <c r="F15" s="10">
        <f>VORN!I16</f>
        <v>0</v>
      </c>
      <c r="G15" s="84" t="s">
        <v>30</v>
      </c>
      <c r="H15" s="85"/>
      <c r="I15" s="11">
        <f>VORN!I22</f>
        <v>0</v>
      </c>
    </row>
    <row r="16" spans="1:9" ht="15.6" x14ac:dyDescent="0.3">
      <c r="A16" s="8" t="s">
        <v>31</v>
      </c>
      <c r="B16" s="9" t="s">
        <v>25</v>
      </c>
      <c r="C16" s="10">
        <f>SUM('Stavební rozpočet'!AD12:AD162)</f>
        <v>0</v>
      </c>
      <c r="D16" s="84" t="s">
        <v>32</v>
      </c>
      <c r="E16" s="85"/>
      <c r="F16" s="10">
        <f>VORN!I17</f>
        <v>0</v>
      </c>
      <c r="G16" s="84" t="s">
        <v>33</v>
      </c>
      <c r="H16" s="85"/>
      <c r="I16" s="11">
        <f>VORN!I23</f>
        <v>0</v>
      </c>
    </row>
    <row r="17" spans="1:9" ht="15.6" x14ac:dyDescent="0.3">
      <c r="A17" s="12" t="s">
        <v>10</v>
      </c>
      <c r="B17" s="9" t="s">
        <v>28</v>
      </c>
      <c r="C17" s="10">
        <f>SUM('Stavební rozpočet'!AE12:AE162)</f>
        <v>0</v>
      </c>
      <c r="D17" s="84" t="s">
        <v>10</v>
      </c>
      <c r="E17" s="85"/>
      <c r="F17" s="11" t="s">
        <v>10</v>
      </c>
      <c r="G17" s="84" t="s">
        <v>34</v>
      </c>
      <c r="H17" s="85"/>
      <c r="I17" s="11">
        <f>VORN!I24</f>
        <v>0</v>
      </c>
    </row>
    <row r="18" spans="1:9" ht="15.6" x14ac:dyDescent="0.3">
      <c r="A18" s="8" t="s">
        <v>35</v>
      </c>
      <c r="B18" s="9" t="s">
        <v>25</v>
      </c>
      <c r="C18" s="10">
        <f>SUM('Stavební rozpočet'!AF12:AF162)</f>
        <v>0</v>
      </c>
      <c r="D18" s="84" t="s">
        <v>10</v>
      </c>
      <c r="E18" s="85"/>
      <c r="F18" s="11" t="s">
        <v>10</v>
      </c>
      <c r="G18" s="84" t="s">
        <v>36</v>
      </c>
      <c r="H18" s="85"/>
      <c r="I18" s="11">
        <f>VORN!I25</f>
        <v>0</v>
      </c>
    </row>
    <row r="19" spans="1:9" ht="15.6" x14ac:dyDescent="0.3">
      <c r="A19" s="12" t="s">
        <v>10</v>
      </c>
      <c r="B19" s="9" t="s">
        <v>28</v>
      </c>
      <c r="C19" s="10">
        <f>SUM('Stavební rozpočet'!AG12:AG162)</f>
        <v>0</v>
      </c>
      <c r="D19" s="84" t="s">
        <v>10</v>
      </c>
      <c r="E19" s="85"/>
      <c r="F19" s="11" t="s">
        <v>10</v>
      </c>
      <c r="G19" s="84" t="s">
        <v>37</v>
      </c>
      <c r="H19" s="85"/>
      <c r="I19" s="11">
        <f>VORN!I26</f>
        <v>0</v>
      </c>
    </row>
    <row r="20" spans="1:9" ht="15.6" x14ac:dyDescent="0.3">
      <c r="A20" s="76" t="s">
        <v>38</v>
      </c>
      <c r="B20" s="77"/>
      <c r="C20" s="10">
        <f>SUM('Stavební rozpočet'!AH12:AH162)</f>
        <v>0</v>
      </c>
      <c r="D20" s="84" t="s">
        <v>10</v>
      </c>
      <c r="E20" s="85"/>
      <c r="F20" s="11" t="s">
        <v>10</v>
      </c>
      <c r="G20" s="84" t="s">
        <v>10</v>
      </c>
      <c r="H20" s="85"/>
      <c r="I20" s="11" t="s">
        <v>10</v>
      </c>
    </row>
    <row r="21" spans="1:9" ht="15.6" x14ac:dyDescent="0.3">
      <c r="A21" s="91" t="s">
        <v>39</v>
      </c>
      <c r="B21" s="92"/>
      <c r="C21" s="13">
        <f>SUM('Stavební rozpočet'!Z12:Z162)</f>
        <v>0</v>
      </c>
      <c r="D21" s="86" t="s">
        <v>10</v>
      </c>
      <c r="E21" s="87"/>
      <c r="F21" s="14" t="s">
        <v>10</v>
      </c>
      <c r="G21" s="86" t="s">
        <v>10</v>
      </c>
      <c r="H21" s="87"/>
      <c r="I21" s="14" t="s">
        <v>10</v>
      </c>
    </row>
    <row r="22" spans="1:9" ht="16.5" customHeight="1" x14ac:dyDescent="0.3">
      <c r="A22" s="93" t="s">
        <v>40</v>
      </c>
      <c r="B22" s="89"/>
      <c r="C22" s="15">
        <f>SUM(C14:C21)</f>
        <v>0</v>
      </c>
      <c r="D22" s="88" t="s">
        <v>41</v>
      </c>
      <c r="E22" s="89"/>
      <c r="F22" s="15">
        <f>SUM(F14:F21)</f>
        <v>0</v>
      </c>
      <c r="G22" s="88" t="s">
        <v>42</v>
      </c>
      <c r="H22" s="89"/>
      <c r="I22" s="15">
        <f>SUM(I14:I21)</f>
        <v>0</v>
      </c>
    </row>
    <row r="23" spans="1:9" ht="15.6" x14ac:dyDescent="0.3">
      <c r="D23" s="76" t="s">
        <v>43</v>
      </c>
      <c r="E23" s="77"/>
      <c r="F23" s="16">
        <v>0</v>
      </c>
      <c r="G23" s="90" t="s">
        <v>44</v>
      </c>
      <c r="H23" s="77"/>
      <c r="I23" s="10">
        <v>0</v>
      </c>
    </row>
    <row r="24" spans="1:9" ht="15.6" x14ac:dyDescent="0.3">
      <c r="G24" s="76" t="s">
        <v>45</v>
      </c>
      <c r="H24" s="77"/>
      <c r="I24" s="13">
        <f>vorn_sum</f>
        <v>0</v>
      </c>
    </row>
    <row r="25" spans="1:9" ht="15.6" x14ac:dyDescent="0.3">
      <c r="G25" s="76" t="s">
        <v>46</v>
      </c>
      <c r="H25" s="77"/>
      <c r="I25" s="15">
        <v>0</v>
      </c>
    </row>
    <row r="27" spans="1:9" ht="15.6" x14ac:dyDescent="0.3">
      <c r="A27" s="78" t="s">
        <v>47</v>
      </c>
      <c r="B27" s="79"/>
      <c r="C27" s="17">
        <f>SUM('Stavební rozpočet'!AJ12:AJ162)</f>
        <v>0</v>
      </c>
    </row>
    <row r="28" spans="1:9" ht="15.6" x14ac:dyDescent="0.3">
      <c r="A28" s="80" t="s">
        <v>48</v>
      </c>
      <c r="B28" s="81"/>
      <c r="C28" s="18">
        <f>SUM('Stavební rozpočet'!AK12:AK162)</f>
        <v>0</v>
      </c>
      <c r="D28" s="82" t="s">
        <v>49</v>
      </c>
      <c r="E28" s="79"/>
      <c r="F28" s="17">
        <f>ROUND(C28*(12/100),2)</f>
        <v>0</v>
      </c>
      <c r="G28" s="82" t="s">
        <v>50</v>
      </c>
      <c r="H28" s="79"/>
      <c r="I28" s="17">
        <f>SUM(C27:C29)</f>
        <v>0</v>
      </c>
    </row>
    <row r="29" spans="1:9" ht="15.6" x14ac:dyDescent="0.3">
      <c r="A29" s="80" t="s">
        <v>51</v>
      </c>
      <c r="B29" s="81"/>
      <c r="C29" s="18">
        <f>SUM('Stavební rozpočet'!AL12:AL162)</f>
        <v>0</v>
      </c>
      <c r="D29" s="83" t="s">
        <v>52</v>
      </c>
      <c r="E29" s="81"/>
      <c r="F29" s="18">
        <f>ROUND(C29*(21/100),2)</f>
        <v>0</v>
      </c>
      <c r="G29" s="83" t="s">
        <v>53</v>
      </c>
      <c r="H29" s="81"/>
      <c r="I29" s="18">
        <f>SUM(F28:F29)+I28</f>
        <v>0</v>
      </c>
    </row>
    <row r="31" spans="1:9" x14ac:dyDescent="0.3">
      <c r="A31" s="73" t="s">
        <v>54</v>
      </c>
      <c r="B31" s="65"/>
      <c r="C31" s="66"/>
      <c r="D31" s="64" t="s">
        <v>55</v>
      </c>
      <c r="E31" s="65"/>
      <c r="F31" s="66"/>
      <c r="G31" s="64" t="s">
        <v>56</v>
      </c>
      <c r="H31" s="65"/>
      <c r="I31" s="66"/>
    </row>
    <row r="32" spans="1:9" x14ac:dyDescent="0.3">
      <c r="A32" s="74" t="s">
        <v>10</v>
      </c>
      <c r="B32" s="68"/>
      <c r="C32" s="69"/>
      <c r="D32" s="67" t="s">
        <v>10</v>
      </c>
      <c r="E32" s="68"/>
      <c r="F32" s="69"/>
      <c r="G32" s="67" t="s">
        <v>10</v>
      </c>
      <c r="H32" s="68"/>
      <c r="I32" s="69"/>
    </row>
    <row r="33" spans="1:9" x14ac:dyDescent="0.3">
      <c r="A33" s="74" t="s">
        <v>10</v>
      </c>
      <c r="B33" s="68"/>
      <c r="C33" s="69"/>
      <c r="D33" s="67" t="s">
        <v>10</v>
      </c>
      <c r="E33" s="68"/>
      <c r="F33" s="69"/>
      <c r="G33" s="67" t="s">
        <v>10</v>
      </c>
      <c r="H33" s="68"/>
      <c r="I33" s="69"/>
    </row>
    <row r="34" spans="1:9" x14ac:dyDescent="0.3">
      <c r="A34" s="74" t="s">
        <v>10</v>
      </c>
      <c r="B34" s="68"/>
      <c r="C34" s="69"/>
      <c r="D34" s="67" t="s">
        <v>10</v>
      </c>
      <c r="E34" s="68"/>
      <c r="F34" s="69"/>
      <c r="G34" s="67" t="s">
        <v>10</v>
      </c>
      <c r="H34" s="68"/>
      <c r="I34" s="69"/>
    </row>
    <row r="35" spans="1:9" x14ac:dyDescent="0.3">
      <c r="A35" s="75" t="s">
        <v>57</v>
      </c>
      <c r="B35" s="71"/>
      <c r="C35" s="72"/>
      <c r="D35" s="70" t="s">
        <v>57</v>
      </c>
      <c r="E35" s="71"/>
      <c r="F35" s="72"/>
      <c r="G35" s="70" t="s">
        <v>57</v>
      </c>
      <c r="H35" s="71"/>
      <c r="I35" s="72"/>
    </row>
    <row r="36" spans="1:9" ht="14.4" x14ac:dyDescent="0.3">
      <c r="A36" s="19" t="s">
        <v>58</v>
      </c>
    </row>
    <row r="37" spans="1:9" ht="12.75" customHeight="1" x14ac:dyDescent="0.3">
      <c r="A37" s="62" t="s">
        <v>10</v>
      </c>
      <c r="B37" s="63"/>
      <c r="C37" s="63"/>
      <c r="D37" s="63"/>
      <c r="E37" s="63"/>
      <c r="F37" s="63"/>
      <c r="G37" s="63"/>
      <c r="H37" s="63"/>
      <c r="I37" s="63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5"/>
  <sheetViews>
    <sheetView workbookViewId="0">
      <selection activeCell="A45" sqref="A45:E45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7.109375" customWidth="1"/>
    <col min="9" max="9" width="22.88671875" customWidth="1"/>
  </cols>
  <sheetData>
    <row r="1" spans="1:9" ht="54.75" customHeight="1" x14ac:dyDescent="0.3">
      <c r="A1" s="106" t="s">
        <v>59</v>
      </c>
      <c r="B1" s="107"/>
      <c r="C1" s="107"/>
      <c r="D1" s="107"/>
      <c r="E1" s="107"/>
      <c r="F1" s="107"/>
      <c r="G1" s="107"/>
      <c r="H1" s="107"/>
      <c r="I1" s="107"/>
    </row>
    <row r="2" spans="1:9" ht="14.4" x14ac:dyDescent="0.3">
      <c r="A2" s="108" t="s">
        <v>1</v>
      </c>
      <c r="B2" s="109"/>
      <c r="C2" s="103" t="str">
        <f>'Stavební rozpočet'!D2</f>
        <v xml:space="preserve">Rekonstrukce střechy na budově JIC-INTECH 2 </v>
      </c>
      <c r="D2" s="104"/>
      <c r="E2" s="100" t="s">
        <v>2</v>
      </c>
      <c r="F2" s="100" t="str">
        <f>'Stavební rozpočet'!J2</f>
        <v>Jihomoravský kraj</v>
      </c>
      <c r="G2" s="109"/>
      <c r="H2" s="100" t="s">
        <v>3</v>
      </c>
      <c r="I2" s="111" t="s">
        <v>4</v>
      </c>
    </row>
    <row r="3" spans="1:9" ht="15" customHeight="1" x14ac:dyDescent="0.3">
      <c r="A3" s="110"/>
      <c r="B3" s="63"/>
      <c r="C3" s="105"/>
      <c r="D3" s="105"/>
      <c r="E3" s="63"/>
      <c r="F3" s="63"/>
      <c r="G3" s="63"/>
      <c r="H3" s="63"/>
      <c r="I3" s="112"/>
    </row>
    <row r="4" spans="1:9" ht="14.4" x14ac:dyDescent="0.3">
      <c r="A4" s="101" t="s">
        <v>5</v>
      </c>
      <c r="B4" s="63"/>
      <c r="C4" s="62" t="str">
        <f>'Stavební rozpočet'!D4</f>
        <v>Rekonstrukce střešního pláště na administrativní budově</v>
      </c>
      <c r="D4" s="63"/>
      <c r="E4" s="62" t="s">
        <v>6</v>
      </c>
      <c r="F4" s="62" t="str">
        <f>'Stavební rozpočet'!J4</f>
        <v>VS-ingline, s.r.o.</v>
      </c>
      <c r="G4" s="63"/>
      <c r="H4" s="62" t="s">
        <v>3</v>
      </c>
      <c r="I4" s="112" t="s">
        <v>7</v>
      </c>
    </row>
    <row r="5" spans="1:9" ht="15" customHeight="1" x14ac:dyDescent="0.3">
      <c r="A5" s="110"/>
      <c r="B5" s="63"/>
      <c r="C5" s="63"/>
      <c r="D5" s="63"/>
      <c r="E5" s="63"/>
      <c r="F5" s="63"/>
      <c r="G5" s="63"/>
      <c r="H5" s="63"/>
      <c r="I5" s="112"/>
    </row>
    <row r="6" spans="1:9" ht="14.4" x14ac:dyDescent="0.3">
      <c r="A6" s="101" t="s">
        <v>8</v>
      </c>
      <c r="B6" s="63"/>
      <c r="C6" s="62" t="str">
        <f>'Stavební rozpočet'!D6</f>
        <v>U Vodárny 3032/2a, Královo Pole, 61600 Brno</v>
      </c>
      <c r="D6" s="63"/>
      <c r="E6" s="62" t="s">
        <v>9</v>
      </c>
      <c r="F6" s="62" t="str">
        <f>'Stavební rozpočet'!J6</f>
        <v>Není znám</v>
      </c>
      <c r="G6" s="63"/>
      <c r="H6" s="62" t="s">
        <v>3</v>
      </c>
      <c r="I6" s="112" t="s">
        <v>10</v>
      </c>
    </row>
    <row r="7" spans="1:9" ht="15" customHeight="1" x14ac:dyDescent="0.3">
      <c r="A7" s="110"/>
      <c r="B7" s="63"/>
      <c r="C7" s="63"/>
      <c r="D7" s="63"/>
      <c r="E7" s="63"/>
      <c r="F7" s="63"/>
      <c r="G7" s="63"/>
      <c r="H7" s="63"/>
      <c r="I7" s="112"/>
    </row>
    <row r="8" spans="1:9" ht="14.4" x14ac:dyDescent="0.3">
      <c r="A8" s="101" t="s">
        <v>11</v>
      </c>
      <c r="B8" s="63"/>
      <c r="C8" s="62">
        <f>'Stavební rozpočet'!H4</f>
        <v>0</v>
      </c>
      <c r="D8" s="63"/>
      <c r="E8" s="62" t="s">
        <v>12</v>
      </c>
      <c r="F8" s="62" t="str">
        <f>'Stavební rozpočet'!H6</f>
        <v xml:space="preserve"> </v>
      </c>
      <c r="G8" s="63"/>
      <c r="H8" s="63" t="s">
        <v>13</v>
      </c>
      <c r="I8" s="113">
        <v>99</v>
      </c>
    </row>
    <row r="9" spans="1:9" ht="14.4" x14ac:dyDescent="0.3">
      <c r="A9" s="110"/>
      <c r="B9" s="63"/>
      <c r="C9" s="63"/>
      <c r="D9" s="63"/>
      <c r="E9" s="63"/>
      <c r="F9" s="63"/>
      <c r="G9" s="63"/>
      <c r="H9" s="63"/>
      <c r="I9" s="112"/>
    </row>
    <row r="10" spans="1:9" ht="14.4" x14ac:dyDescent="0.3">
      <c r="A10" s="101" t="s">
        <v>14</v>
      </c>
      <c r="B10" s="63"/>
      <c r="C10" s="62" t="str">
        <f>'Stavební rozpočet'!D8</f>
        <v xml:space="preserve"> </v>
      </c>
      <c r="D10" s="63"/>
      <c r="E10" s="62" t="s">
        <v>15</v>
      </c>
      <c r="F10" s="62" t="str">
        <f>'Stavební rozpočet'!J8</f>
        <v>Ing. Miloš Červený</v>
      </c>
      <c r="G10" s="63"/>
      <c r="H10" s="63" t="s">
        <v>16</v>
      </c>
      <c r="I10" s="94" t="str">
        <f>'Stavební rozpočet'!H8</f>
        <v>31.08.2023</v>
      </c>
    </row>
    <row r="11" spans="1:9" ht="14.4" x14ac:dyDescent="0.3">
      <c r="A11" s="102"/>
      <c r="B11" s="99"/>
      <c r="C11" s="99"/>
      <c r="D11" s="99"/>
      <c r="E11" s="99"/>
      <c r="F11" s="99"/>
      <c r="G11" s="99"/>
      <c r="H11" s="99"/>
      <c r="I11" s="95"/>
    </row>
    <row r="13" spans="1:9" ht="15.6" x14ac:dyDescent="0.3">
      <c r="A13" s="129" t="s">
        <v>60</v>
      </c>
      <c r="B13" s="129"/>
      <c r="C13" s="129"/>
      <c r="D13" s="129"/>
      <c r="E13" s="129"/>
    </row>
    <row r="14" spans="1:9" ht="14.4" x14ac:dyDescent="0.3">
      <c r="A14" s="130" t="s">
        <v>61</v>
      </c>
      <c r="B14" s="131"/>
      <c r="C14" s="131"/>
      <c r="D14" s="131"/>
      <c r="E14" s="132"/>
      <c r="F14" s="20" t="s">
        <v>62</v>
      </c>
      <c r="G14" s="20" t="s">
        <v>63</v>
      </c>
      <c r="H14" s="20" t="s">
        <v>64</v>
      </c>
      <c r="I14" s="20" t="s">
        <v>62</v>
      </c>
    </row>
    <row r="15" spans="1:9" ht="14.4" x14ac:dyDescent="0.3">
      <c r="A15" s="114" t="s">
        <v>26</v>
      </c>
      <c r="B15" s="115"/>
      <c r="C15" s="115"/>
      <c r="D15" s="115"/>
      <c r="E15" s="116"/>
      <c r="F15" s="21">
        <v>0</v>
      </c>
      <c r="G15" s="22" t="s">
        <v>10</v>
      </c>
      <c r="H15" s="22" t="s">
        <v>10</v>
      </c>
      <c r="I15" s="21">
        <f>F15</f>
        <v>0</v>
      </c>
    </row>
    <row r="16" spans="1:9" ht="14.4" x14ac:dyDescent="0.3">
      <c r="A16" s="114" t="s">
        <v>29</v>
      </c>
      <c r="B16" s="115"/>
      <c r="C16" s="115"/>
      <c r="D16" s="115"/>
      <c r="E16" s="116"/>
      <c r="F16" s="21">
        <v>0</v>
      </c>
      <c r="G16" s="22" t="s">
        <v>10</v>
      </c>
      <c r="H16" s="22" t="s">
        <v>10</v>
      </c>
      <c r="I16" s="21">
        <f>F16</f>
        <v>0</v>
      </c>
    </row>
    <row r="17" spans="1:9" ht="14.4" x14ac:dyDescent="0.3">
      <c r="A17" s="117" t="s">
        <v>32</v>
      </c>
      <c r="B17" s="118"/>
      <c r="C17" s="118"/>
      <c r="D17" s="118"/>
      <c r="E17" s="119"/>
      <c r="F17" s="23">
        <v>0</v>
      </c>
      <c r="G17" s="24" t="s">
        <v>10</v>
      </c>
      <c r="H17" s="24" t="s">
        <v>10</v>
      </c>
      <c r="I17" s="23">
        <f>F17</f>
        <v>0</v>
      </c>
    </row>
    <row r="18" spans="1:9" ht="14.4" x14ac:dyDescent="0.3">
      <c r="A18" s="120" t="s">
        <v>65</v>
      </c>
      <c r="B18" s="121"/>
      <c r="C18" s="121"/>
      <c r="D18" s="121"/>
      <c r="E18" s="122"/>
      <c r="F18" s="25" t="s">
        <v>10</v>
      </c>
      <c r="G18" s="26" t="s">
        <v>10</v>
      </c>
      <c r="H18" s="26" t="s">
        <v>10</v>
      </c>
      <c r="I18" s="27">
        <f>SUM(I15:I17)</f>
        <v>0</v>
      </c>
    </row>
    <row r="20" spans="1:9" ht="14.4" x14ac:dyDescent="0.3">
      <c r="A20" s="130" t="s">
        <v>23</v>
      </c>
      <c r="B20" s="131"/>
      <c r="C20" s="131"/>
      <c r="D20" s="131"/>
      <c r="E20" s="132"/>
      <c r="F20" s="20" t="s">
        <v>62</v>
      </c>
      <c r="G20" s="20" t="s">
        <v>63</v>
      </c>
      <c r="H20" s="20" t="s">
        <v>64</v>
      </c>
      <c r="I20" s="20" t="s">
        <v>62</v>
      </c>
    </row>
    <row r="21" spans="1:9" ht="14.4" x14ac:dyDescent="0.3">
      <c r="A21" s="114" t="s">
        <v>27</v>
      </c>
      <c r="B21" s="115"/>
      <c r="C21" s="115"/>
      <c r="D21" s="115"/>
      <c r="E21" s="116"/>
      <c r="F21" s="21">
        <v>0</v>
      </c>
      <c r="G21" s="22" t="s">
        <v>10</v>
      </c>
      <c r="H21" s="22" t="s">
        <v>10</v>
      </c>
      <c r="I21" s="21">
        <f t="shared" ref="I21:I26" si="0">F21</f>
        <v>0</v>
      </c>
    </row>
    <row r="22" spans="1:9" ht="14.4" x14ac:dyDescent="0.3">
      <c r="A22" s="114" t="s">
        <v>30</v>
      </c>
      <c r="B22" s="115"/>
      <c r="C22" s="115"/>
      <c r="D22" s="115"/>
      <c r="E22" s="116"/>
      <c r="F22" s="21">
        <v>0</v>
      </c>
      <c r="G22" s="22" t="s">
        <v>10</v>
      </c>
      <c r="H22" s="22" t="s">
        <v>10</v>
      </c>
      <c r="I22" s="21">
        <f t="shared" si="0"/>
        <v>0</v>
      </c>
    </row>
    <row r="23" spans="1:9" ht="14.4" x14ac:dyDescent="0.3">
      <c r="A23" s="114" t="s">
        <v>33</v>
      </c>
      <c r="B23" s="115"/>
      <c r="C23" s="115"/>
      <c r="D23" s="115"/>
      <c r="E23" s="116"/>
      <c r="F23" s="21">
        <v>0</v>
      </c>
      <c r="G23" s="22" t="s">
        <v>10</v>
      </c>
      <c r="H23" s="22" t="s">
        <v>10</v>
      </c>
      <c r="I23" s="21">
        <f t="shared" si="0"/>
        <v>0</v>
      </c>
    </row>
    <row r="24" spans="1:9" ht="14.4" x14ac:dyDescent="0.3">
      <c r="A24" s="114" t="s">
        <v>34</v>
      </c>
      <c r="B24" s="115"/>
      <c r="C24" s="115"/>
      <c r="D24" s="115"/>
      <c r="E24" s="116"/>
      <c r="F24" s="21">
        <v>0</v>
      </c>
      <c r="G24" s="22" t="s">
        <v>10</v>
      </c>
      <c r="H24" s="22" t="s">
        <v>10</v>
      </c>
      <c r="I24" s="21">
        <f t="shared" si="0"/>
        <v>0</v>
      </c>
    </row>
    <row r="25" spans="1:9" ht="14.4" x14ac:dyDescent="0.3">
      <c r="A25" s="114" t="s">
        <v>36</v>
      </c>
      <c r="B25" s="115"/>
      <c r="C25" s="115"/>
      <c r="D25" s="115"/>
      <c r="E25" s="116"/>
      <c r="F25" s="21">
        <v>0</v>
      </c>
      <c r="G25" s="22" t="s">
        <v>10</v>
      </c>
      <c r="H25" s="22" t="s">
        <v>10</v>
      </c>
      <c r="I25" s="21">
        <f t="shared" si="0"/>
        <v>0</v>
      </c>
    </row>
    <row r="26" spans="1:9" ht="14.4" x14ac:dyDescent="0.3">
      <c r="A26" s="117" t="s">
        <v>37</v>
      </c>
      <c r="B26" s="118"/>
      <c r="C26" s="118"/>
      <c r="D26" s="118"/>
      <c r="E26" s="119"/>
      <c r="F26" s="23">
        <v>0</v>
      </c>
      <c r="G26" s="24" t="s">
        <v>10</v>
      </c>
      <c r="H26" s="24" t="s">
        <v>10</v>
      </c>
      <c r="I26" s="23">
        <f t="shared" si="0"/>
        <v>0</v>
      </c>
    </row>
    <row r="27" spans="1:9" ht="14.4" x14ac:dyDescent="0.3">
      <c r="A27" s="120" t="s">
        <v>66</v>
      </c>
      <c r="B27" s="121"/>
      <c r="C27" s="121"/>
      <c r="D27" s="121"/>
      <c r="E27" s="122"/>
      <c r="F27" s="25" t="s">
        <v>10</v>
      </c>
      <c r="G27" s="26" t="s">
        <v>10</v>
      </c>
      <c r="H27" s="26" t="s">
        <v>10</v>
      </c>
      <c r="I27" s="27">
        <f>SUM(I21:I26)</f>
        <v>0</v>
      </c>
    </row>
    <row r="29" spans="1:9" ht="15.6" x14ac:dyDescent="0.3">
      <c r="A29" s="123" t="s">
        <v>67</v>
      </c>
      <c r="B29" s="124"/>
      <c r="C29" s="124"/>
      <c r="D29" s="124"/>
      <c r="E29" s="125"/>
      <c r="F29" s="126">
        <f>I18+I27</f>
        <v>0</v>
      </c>
      <c r="G29" s="127"/>
      <c r="H29" s="127"/>
      <c r="I29" s="128"/>
    </row>
    <row r="33" spans="1:9" ht="15.6" x14ac:dyDescent="0.3">
      <c r="A33" s="129" t="s">
        <v>68</v>
      </c>
      <c r="B33" s="129"/>
      <c r="C33" s="129"/>
      <c r="D33" s="129"/>
      <c r="E33" s="129"/>
    </row>
    <row r="34" spans="1:9" ht="14.4" x14ac:dyDescent="0.3">
      <c r="A34" s="130" t="s">
        <v>69</v>
      </c>
      <c r="B34" s="131"/>
      <c r="C34" s="131"/>
      <c r="D34" s="131"/>
      <c r="E34" s="132"/>
      <c r="F34" s="20" t="s">
        <v>62</v>
      </c>
      <c r="G34" s="20" t="s">
        <v>63</v>
      </c>
      <c r="H34" s="20" t="s">
        <v>64</v>
      </c>
      <c r="I34" s="20" t="s">
        <v>62</v>
      </c>
    </row>
    <row r="35" spans="1:9" ht="14.4" x14ac:dyDescent="0.3">
      <c r="A35" s="114" t="s">
        <v>70</v>
      </c>
      <c r="B35" s="115"/>
      <c r="C35" s="115"/>
      <c r="D35" s="115"/>
      <c r="E35" s="116"/>
      <c r="F35" s="21">
        <f>SUM('Stavební rozpočet'!BM12:BM162)</f>
        <v>0</v>
      </c>
      <c r="G35" s="22" t="s">
        <v>10</v>
      </c>
      <c r="H35" s="22" t="s">
        <v>10</v>
      </c>
      <c r="I35" s="21">
        <f t="shared" ref="I35:I44" si="1">F35</f>
        <v>0</v>
      </c>
    </row>
    <row r="36" spans="1:9" ht="14.4" x14ac:dyDescent="0.3">
      <c r="A36" s="114" t="s">
        <v>71</v>
      </c>
      <c r="B36" s="115"/>
      <c r="C36" s="115"/>
      <c r="D36" s="115"/>
      <c r="E36" s="116"/>
      <c r="F36" s="21">
        <f>SUM('Stavební rozpočet'!BN12:BN162)</f>
        <v>0</v>
      </c>
      <c r="G36" s="22" t="s">
        <v>10</v>
      </c>
      <c r="H36" s="22" t="s">
        <v>10</v>
      </c>
      <c r="I36" s="21">
        <f t="shared" si="1"/>
        <v>0</v>
      </c>
    </row>
    <row r="37" spans="1:9" ht="14.4" x14ac:dyDescent="0.3">
      <c r="A37" s="114" t="s">
        <v>27</v>
      </c>
      <c r="B37" s="115"/>
      <c r="C37" s="115"/>
      <c r="D37" s="115"/>
      <c r="E37" s="116"/>
      <c r="F37" s="21">
        <f>SUM('Stavební rozpočet'!BO12:BO162)</f>
        <v>0</v>
      </c>
      <c r="G37" s="22" t="s">
        <v>10</v>
      </c>
      <c r="H37" s="22" t="s">
        <v>10</v>
      </c>
      <c r="I37" s="21">
        <f t="shared" si="1"/>
        <v>0</v>
      </c>
    </row>
    <row r="38" spans="1:9" ht="14.4" x14ac:dyDescent="0.3">
      <c r="A38" s="114" t="s">
        <v>72</v>
      </c>
      <c r="B38" s="115"/>
      <c r="C38" s="115"/>
      <c r="D38" s="115"/>
      <c r="E38" s="116"/>
      <c r="F38" s="21">
        <f>SUM('Stavební rozpočet'!BP12:BP162)</f>
        <v>0</v>
      </c>
      <c r="G38" s="22" t="s">
        <v>10</v>
      </c>
      <c r="H38" s="22" t="s">
        <v>10</v>
      </c>
      <c r="I38" s="21">
        <f t="shared" si="1"/>
        <v>0</v>
      </c>
    </row>
    <row r="39" spans="1:9" ht="14.4" x14ac:dyDescent="0.3">
      <c r="A39" s="114" t="s">
        <v>73</v>
      </c>
      <c r="B39" s="115"/>
      <c r="C39" s="115"/>
      <c r="D39" s="115"/>
      <c r="E39" s="116"/>
      <c r="F39" s="21">
        <f>SUM('Stavební rozpočet'!BQ12:BQ162)</f>
        <v>0</v>
      </c>
      <c r="G39" s="22" t="s">
        <v>10</v>
      </c>
      <c r="H39" s="22" t="s">
        <v>10</v>
      </c>
      <c r="I39" s="21">
        <f t="shared" si="1"/>
        <v>0</v>
      </c>
    </row>
    <row r="40" spans="1:9" ht="14.4" x14ac:dyDescent="0.3">
      <c r="A40" s="114" t="s">
        <v>33</v>
      </c>
      <c r="B40" s="115"/>
      <c r="C40" s="115"/>
      <c r="D40" s="115"/>
      <c r="E40" s="116"/>
      <c r="F40" s="21">
        <f>SUM('Stavební rozpočet'!BR12:BR162)</f>
        <v>0</v>
      </c>
      <c r="G40" s="22" t="s">
        <v>10</v>
      </c>
      <c r="H40" s="22" t="s">
        <v>10</v>
      </c>
      <c r="I40" s="21">
        <f t="shared" si="1"/>
        <v>0</v>
      </c>
    </row>
    <row r="41" spans="1:9" ht="14.4" x14ac:dyDescent="0.3">
      <c r="A41" s="114" t="s">
        <v>34</v>
      </c>
      <c r="B41" s="115"/>
      <c r="C41" s="115"/>
      <c r="D41" s="115"/>
      <c r="E41" s="116"/>
      <c r="F41" s="21">
        <f>SUM('Stavební rozpočet'!BS12:BS162)</f>
        <v>0</v>
      </c>
      <c r="G41" s="22" t="s">
        <v>10</v>
      </c>
      <c r="H41" s="22" t="s">
        <v>10</v>
      </c>
      <c r="I41" s="21">
        <f t="shared" si="1"/>
        <v>0</v>
      </c>
    </row>
    <row r="42" spans="1:9" ht="14.4" x14ac:dyDescent="0.3">
      <c r="A42" s="114" t="s">
        <v>74</v>
      </c>
      <c r="B42" s="115"/>
      <c r="C42" s="115"/>
      <c r="D42" s="115"/>
      <c r="E42" s="116"/>
      <c r="F42" s="21">
        <f>SUM('Stavební rozpočet'!BT12:BT162)</f>
        <v>0</v>
      </c>
      <c r="G42" s="22" t="s">
        <v>10</v>
      </c>
      <c r="H42" s="22" t="s">
        <v>10</v>
      </c>
      <c r="I42" s="21">
        <f t="shared" si="1"/>
        <v>0</v>
      </c>
    </row>
    <row r="43" spans="1:9" ht="14.4" x14ac:dyDescent="0.3">
      <c r="A43" s="114" t="s">
        <v>75</v>
      </c>
      <c r="B43" s="115"/>
      <c r="C43" s="115"/>
      <c r="D43" s="115"/>
      <c r="E43" s="116"/>
      <c r="F43" s="21">
        <f>SUM('Stavební rozpočet'!BU12:BU162)</f>
        <v>0</v>
      </c>
      <c r="G43" s="22" t="s">
        <v>10</v>
      </c>
      <c r="H43" s="22" t="s">
        <v>10</v>
      </c>
      <c r="I43" s="21">
        <f t="shared" si="1"/>
        <v>0</v>
      </c>
    </row>
    <row r="44" spans="1:9" ht="14.4" x14ac:dyDescent="0.3">
      <c r="A44" s="117" t="s">
        <v>76</v>
      </c>
      <c r="B44" s="118"/>
      <c r="C44" s="118"/>
      <c r="D44" s="118"/>
      <c r="E44" s="119"/>
      <c r="F44" s="23">
        <f>SUM('Stavební rozpočet'!BV12:BV162)</f>
        <v>0</v>
      </c>
      <c r="G44" s="24" t="s">
        <v>10</v>
      </c>
      <c r="H44" s="24" t="s">
        <v>10</v>
      </c>
      <c r="I44" s="23">
        <f t="shared" si="1"/>
        <v>0</v>
      </c>
    </row>
    <row r="45" spans="1:9" ht="14.4" x14ac:dyDescent="0.3">
      <c r="A45" s="120" t="s">
        <v>77</v>
      </c>
      <c r="B45" s="121"/>
      <c r="C45" s="121"/>
      <c r="D45" s="121"/>
      <c r="E45" s="122"/>
      <c r="F45" s="25" t="s">
        <v>10</v>
      </c>
      <c r="G45" s="26" t="s">
        <v>10</v>
      </c>
      <c r="H45" s="26" t="s">
        <v>10</v>
      </c>
      <c r="I45" s="27">
        <f>SUM(I35:I44)</f>
        <v>0</v>
      </c>
    </row>
  </sheetData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165"/>
  <sheetViews>
    <sheetView tabSelected="1" workbookViewId="0">
      <pane ySplit="11" topLeftCell="A130" activePane="bottomLeft" state="frozen"/>
      <selection pane="bottomLeft" activeCell="D2" sqref="D2:E3"/>
    </sheetView>
  </sheetViews>
  <sheetFormatPr defaultColWidth="12.109375" defaultRowHeight="15" customHeight="1" x14ac:dyDescent="0.3"/>
  <cols>
    <col min="1" max="1" width="3.109375" customWidth="1"/>
    <col min="2" max="2" width="7.5546875" customWidth="1"/>
    <col min="3" max="3" width="17.88671875" customWidth="1"/>
    <col min="4" max="4" width="42.88671875" customWidth="1"/>
    <col min="5" max="5" width="35.6640625" customWidth="1"/>
    <col min="6" max="6" width="6.6640625" customWidth="1"/>
    <col min="7" max="7" width="12.88671875" customWidth="1"/>
    <col min="8" max="8" width="12" customWidth="1"/>
    <col min="9" max="9" width="15.6640625" customWidth="1"/>
    <col min="10" max="10" width="13.44140625" customWidth="1"/>
    <col min="25" max="75" width="12.109375" hidden="1"/>
    <col min="76" max="76" width="78.5546875" hidden="1" customWidth="1"/>
    <col min="77" max="78" width="12.109375" hidden="1"/>
  </cols>
  <sheetData>
    <row r="1" spans="1:76" ht="54.75" customHeight="1" x14ac:dyDescent="0.3">
      <c r="A1" s="107" t="s">
        <v>78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 ht="14.4" x14ac:dyDescent="0.3">
      <c r="A2" s="108" t="s">
        <v>1</v>
      </c>
      <c r="B2" s="109"/>
      <c r="C2" s="109"/>
      <c r="D2" s="103" t="s">
        <v>533</v>
      </c>
      <c r="E2" s="104"/>
      <c r="F2" s="109" t="s">
        <v>79</v>
      </c>
      <c r="G2" s="109"/>
      <c r="H2" s="109" t="s">
        <v>80</v>
      </c>
      <c r="I2" s="100" t="s">
        <v>2</v>
      </c>
      <c r="J2" s="100" t="s">
        <v>81</v>
      </c>
      <c r="K2" s="111"/>
    </row>
    <row r="3" spans="1:76" ht="14.4" x14ac:dyDescent="0.3">
      <c r="A3" s="110"/>
      <c r="B3" s="63"/>
      <c r="C3" s="63"/>
      <c r="D3" s="105"/>
      <c r="E3" s="105"/>
      <c r="F3" s="63"/>
      <c r="G3" s="63"/>
      <c r="H3" s="63"/>
      <c r="I3" s="63"/>
      <c r="J3" s="63"/>
      <c r="K3" s="112"/>
    </row>
    <row r="4" spans="1:76" ht="14.4" x14ac:dyDescent="0.3">
      <c r="A4" s="101" t="s">
        <v>5</v>
      </c>
      <c r="B4" s="63"/>
      <c r="C4" s="63"/>
      <c r="D4" s="62" t="s">
        <v>82</v>
      </c>
      <c r="E4" s="63"/>
      <c r="F4" s="63" t="s">
        <v>11</v>
      </c>
      <c r="G4" s="63"/>
      <c r="H4" s="63"/>
      <c r="I4" s="62" t="s">
        <v>6</v>
      </c>
      <c r="J4" s="62" t="s">
        <v>83</v>
      </c>
      <c r="K4" s="112"/>
    </row>
    <row r="5" spans="1:76" ht="14.4" x14ac:dyDescent="0.3">
      <c r="A5" s="110"/>
      <c r="B5" s="63"/>
      <c r="C5" s="63"/>
      <c r="D5" s="63"/>
      <c r="E5" s="63"/>
      <c r="F5" s="63"/>
      <c r="G5" s="63"/>
      <c r="H5" s="63"/>
      <c r="I5" s="63"/>
      <c r="J5" s="63"/>
      <c r="K5" s="112"/>
    </row>
    <row r="6" spans="1:76" ht="14.4" x14ac:dyDescent="0.3">
      <c r="A6" s="101" t="s">
        <v>8</v>
      </c>
      <c r="B6" s="63"/>
      <c r="C6" s="63"/>
      <c r="D6" s="62" t="s">
        <v>84</v>
      </c>
      <c r="E6" s="63"/>
      <c r="F6" s="63" t="s">
        <v>12</v>
      </c>
      <c r="G6" s="63"/>
      <c r="H6" s="63" t="s">
        <v>80</v>
      </c>
      <c r="I6" s="62" t="s">
        <v>9</v>
      </c>
      <c r="J6" s="62" t="s">
        <v>85</v>
      </c>
      <c r="K6" s="112"/>
    </row>
    <row r="7" spans="1:76" ht="14.4" x14ac:dyDescent="0.3">
      <c r="A7" s="110"/>
      <c r="B7" s="63"/>
      <c r="C7" s="63"/>
      <c r="D7" s="63"/>
      <c r="E7" s="63"/>
      <c r="F7" s="63"/>
      <c r="G7" s="63"/>
      <c r="H7" s="63"/>
      <c r="I7" s="63"/>
      <c r="J7" s="63"/>
      <c r="K7" s="112"/>
    </row>
    <row r="8" spans="1:76" ht="14.4" x14ac:dyDescent="0.3">
      <c r="A8" s="101" t="s">
        <v>14</v>
      </c>
      <c r="B8" s="63"/>
      <c r="C8" s="63"/>
      <c r="D8" s="62" t="s">
        <v>80</v>
      </c>
      <c r="E8" s="63"/>
      <c r="F8" s="63" t="s">
        <v>86</v>
      </c>
      <c r="G8" s="63"/>
      <c r="H8" s="63" t="s">
        <v>87</v>
      </c>
      <c r="I8" s="62" t="s">
        <v>15</v>
      </c>
      <c r="J8" s="62" t="s">
        <v>88</v>
      </c>
      <c r="K8" s="112"/>
    </row>
    <row r="9" spans="1:76" ht="14.4" x14ac:dyDescent="0.3">
      <c r="A9" s="146"/>
      <c r="B9" s="143"/>
      <c r="C9" s="143"/>
      <c r="D9" s="143"/>
      <c r="E9" s="143"/>
      <c r="F9" s="143"/>
      <c r="G9" s="143"/>
      <c r="H9" s="143"/>
      <c r="I9" s="143"/>
      <c r="J9" s="143"/>
      <c r="K9" s="95"/>
    </row>
    <row r="10" spans="1:76" ht="14.4" x14ac:dyDescent="0.3">
      <c r="A10" s="29" t="s">
        <v>89</v>
      </c>
      <c r="B10" s="30" t="s">
        <v>90</v>
      </c>
      <c r="C10" s="30" t="s">
        <v>91</v>
      </c>
      <c r="D10" s="144" t="s">
        <v>92</v>
      </c>
      <c r="E10" s="145"/>
      <c r="F10" s="30" t="s">
        <v>93</v>
      </c>
      <c r="G10" s="31" t="s">
        <v>94</v>
      </c>
      <c r="H10" s="32" t="s">
        <v>95</v>
      </c>
      <c r="I10" s="33" t="s">
        <v>96</v>
      </c>
      <c r="J10" s="34" t="s">
        <v>97</v>
      </c>
      <c r="K10" s="35"/>
      <c r="BK10" s="36" t="s">
        <v>98</v>
      </c>
      <c r="BL10" s="37" t="s">
        <v>99</v>
      </c>
      <c r="BW10" s="37" t="s">
        <v>100</v>
      </c>
    </row>
    <row r="11" spans="1:76" ht="14.4" x14ac:dyDescent="0.3">
      <c r="A11" s="38" t="s">
        <v>80</v>
      </c>
      <c r="B11" s="39" t="s">
        <v>80</v>
      </c>
      <c r="C11" s="39" t="s">
        <v>80</v>
      </c>
      <c r="D11" s="139" t="s">
        <v>101</v>
      </c>
      <c r="E11" s="140"/>
      <c r="F11" s="39" t="s">
        <v>80</v>
      </c>
      <c r="G11" s="39" t="s">
        <v>80</v>
      </c>
      <c r="H11" s="40" t="s">
        <v>102</v>
      </c>
      <c r="I11" s="41" t="s">
        <v>103</v>
      </c>
      <c r="J11" s="42" t="s">
        <v>104</v>
      </c>
      <c r="K11" s="43"/>
      <c r="Z11" s="36" t="s">
        <v>105</v>
      </c>
      <c r="AA11" s="36" t="s">
        <v>106</v>
      </c>
      <c r="AB11" s="36" t="s">
        <v>107</v>
      </c>
      <c r="AC11" s="36" t="s">
        <v>108</v>
      </c>
      <c r="AD11" s="36" t="s">
        <v>109</v>
      </c>
      <c r="AE11" s="36" t="s">
        <v>110</v>
      </c>
      <c r="AF11" s="36" t="s">
        <v>111</v>
      </c>
      <c r="AG11" s="36" t="s">
        <v>112</v>
      </c>
      <c r="AH11" s="36" t="s">
        <v>113</v>
      </c>
      <c r="BH11" s="36" t="s">
        <v>114</v>
      </c>
      <c r="BI11" s="36" t="s">
        <v>115</v>
      </c>
      <c r="BJ11" s="36" t="s">
        <v>116</v>
      </c>
    </row>
    <row r="12" spans="1:76" ht="14.4" x14ac:dyDescent="0.3">
      <c r="A12" s="44" t="s">
        <v>10</v>
      </c>
      <c r="B12" s="45" t="s">
        <v>117</v>
      </c>
      <c r="C12" s="45" t="s">
        <v>10</v>
      </c>
      <c r="D12" s="141" t="s">
        <v>118</v>
      </c>
      <c r="E12" s="142"/>
      <c r="F12" s="46" t="s">
        <v>80</v>
      </c>
      <c r="G12" s="46" t="s">
        <v>80</v>
      </c>
      <c r="H12" s="46" t="s">
        <v>80</v>
      </c>
      <c r="I12" s="47">
        <f>I13+I15+I18+I22+I25</f>
        <v>0</v>
      </c>
      <c r="J12" s="48" t="s">
        <v>10</v>
      </c>
      <c r="K12" s="49"/>
    </row>
    <row r="13" spans="1:76" ht="14.4" x14ac:dyDescent="0.3">
      <c r="A13" s="50" t="s">
        <v>10</v>
      </c>
      <c r="B13" s="51" t="s">
        <v>117</v>
      </c>
      <c r="C13" s="51" t="s">
        <v>119</v>
      </c>
      <c r="D13" s="133" t="s">
        <v>120</v>
      </c>
      <c r="E13" s="134"/>
      <c r="F13" s="52" t="s">
        <v>80</v>
      </c>
      <c r="G13" s="52" t="s">
        <v>80</v>
      </c>
      <c r="H13" s="52" t="s">
        <v>80</v>
      </c>
      <c r="I13" s="28">
        <f>SUM(I14:I14)</f>
        <v>0</v>
      </c>
      <c r="J13" s="36" t="s">
        <v>10</v>
      </c>
      <c r="K13" s="49"/>
      <c r="AI13" s="36" t="s">
        <v>117</v>
      </c>
      <c r="AS13" s="28">
        <f>SUM(AJ14:AJ14)</f>
        <v>0</v>
      </c>
      <c r="AT13" s="28">
        <f>SUM(AK14:AK14)</f>
        <v>0</v>
      </c>
      <c r="AU13" s="28">
        <f>SUM(AL14:AL14)</f>
        <v>0</v>
      </c>
    </row>
    <row r="14" spans="1:76" ht="14.4" x14ac:dyDescent="0.3">
      <c r="A14" s="1" t="s">
        <v>121</v>
      </c>
      <c r="B14" s="2" t="s">
        <v>117</v>
      </c>
      <c r="C14" s="2" t="s">
        <v>122</v>
      </c>
      <c r="D14" s="62" t="s">
        <v>123</v>
      </c>
      <c r="E14" s="63"/>
      <c r="F14" s="2" t="s">
        <v>124</v>
      </c>
      <c r="G14" s="53">
        <v>1</v>
      </c>
      <c r="H14" s="53">
        <v>0</v>
      </c>
      <c r="I14" s="53">
        <f>G14*H14</f>
        <v>0</v>
      </c>
      <c r="J14" s="54" t="s">
        <v>10</v>
      </c>
      <c r="K14" s="49"/>
      <c r="Z14" s="53">
        <f>IF(AQ14="5",BJ14,0)</f>
        <v>0</v>
      </c>
      <c r="AB14" s="53">
        <f>IF(AQ14="1",BH14,0)</f>
        <v>0</v>
      </c>
      <c r="AC14" s="53">
        <f>IF(AQ14="1",BI14,0)</f>
        <v>0</v>
      </c>
      <c r="AD14" s="53">
        <f>IF(AQ14="7",BH14,0)</f>
        <v>0</v>
      </c>
      <c r="AE14" s="53">
        <f>IF(AQ14="7",BI14,0)</f>
        <v>0</v>
      </c>
      <c r="AF14" s="53">
        <f>IF(AQ14="2",BH14,0)</f>
        <v>0</v>
      </c>
      <c r="AG14" s="53">
        <f>IF(AQ14="2",BI14,0)</f>
        <v>0</v>
      </c>
      <c r="AH14" s="53">
        <f>IF(AQ14="0",BJ14,0)</f>
        <v>0</v>
      </c>
      <c r="AI14" s="36" t="s">
        <v>117</v>
      </c>
      <c r="AJ14" s="53">
        <f>IF(AN14=0,I14,0)</f>
        <v>0</v>
      </c>
      <c r="AK14" s="53">
        <f>IF(AN14=12,I14,0)</f>
        <v>0</v>
      </c>
      <c r="AL14" s="53">
        <f>IF(AN14=21,I14,0)</f>
        <v>0</v>
      </c>
      <c r="AN14" s="53">
        <v>21</v>
      </c>
      <c r="AO14" s="53">
        <f>H14*0.067567568</f>
        <v>0</v>
      </c>
      <c r="AP14" s="53">
        <f>H14*(1-0.067567568)</f>
        <v>0</v>
      </c>
      <c r="AQ14" s="54" t="s">
        <v>121</v>
      </c>
      <c r="AV14" s="53">
        <f>AW14+AX14</f>
        <v>0</v>
      </c>
      <c r="AW14" s="53">
        <f>G14*AO14</f>
        <v>0</v>
      </c>
      <c r="AX14" s="53">
        <f>G14*AP14</f>
        <v>0</v>
      </c>
      <c r="AY14" s="54" t="s">
        <v>125</v>
      </c>
      <c r="AZ14" s="54" t="s">
        <v>126</v>
      </c>
      <c r="BA14" s="36" t="s">
        <v>127</v>
      </c>
      <c r="BC14" s="53">
        <f>AW14+AX14</f>
        <v>0</v>
      </c>
      <c r="BD14" s="53">
        <f>H14/(100-BE14)*100</f>
        <v>0</v>
      </c>
      <c r="BE14" s="53">
        <v>0</v>
      </c>
      <c r="BF14" s="53">
        <f>14</f>
        <v>14</v>
      </c>
      <c r="BH14" s="53">
        <f>G14*AO14</f>
        <v>0</v>
      </c>
      <c r="BI14" s="53">
        <f>G14*AP14</f>
        <v>0</v>
      </c>
      <c r="BJ14" s="53">
        <f>G14*H14</f>
        <v>0</v>
      </c>
      <c r="BK14" s="53"/>
      <c r="BL14" s="53">
        <v>0</v>
      </c>
      <c r="BW14" s="53">
        <v>21</v>
      </c>
      <c r="BX14" s="3" t="s">
        <v>123</v>
      </c>
    </row>
    <row r="15" spans="1:76" ht="14.4" x14ac:dyDescent="0.3">
      <c r="A15" s="50" t="s">
        <v>10</v>
      </c>
      <c r="B15" s="51" t="s">
        <v>117</v>
      </c>
      <c r="C15" s="51" t="s">
        <v>128</v>
      </c>
      <c r="D15" s="133" t="s">
        <v>129</v>
      </c>
      <c r="E15" s="134"/>
      <c r="F15" s="52" t="s">
        <v>80</v>
      </c>
      <c r="G15" s="52" t="s">
        <v>80</v>
      </c>
      <c r="H15" s="52" t="s">
        <v>80</v>
      </c>
      <c r="I15" s="28">
        <f>SUM(I16:I16)</f>
        <v>0</v>
      </c>
      <c r="J15" s="36" t="s">
        <v>10</v>
      </c>
      <c r="K15" s="49"/>
      <c r="AI15" s="36" t="s">
        <v>117</v>
      </c>
      <c r="AS15" s="28">
        <f>SUM(AJ16:AJ16)</f>
        <v>0</v>
      </c>
      <c r="AT15" s="28">
        <f>SUM(AK16:AK16)</f>
        <v>0</v>
      </c>
      <c r="AU15" s="28">
        <f>SUM(AL16:AL16)</f>
        <v>0</v>
      </c>
    </row>
    <row r="16" spans="1:76" ht="14.4" x14ac:dyDescent="0.3">
      <c r="A16" s="1" t="s">
        <v>130</v>
      </c>
      <c r="B16" s="2" t="s">
        <v>117</v>
      </c>
      <c r="C16" s="2" t="s">
        <v>131</v>
      </c>
      <c r="D16" s="62" t="s">
        <v>132</v>
      </c>
      <c r="E16" s="63"/>
      <c r="F16" s="2" t="s">
        <v>133</v>
      </c>
      <c r="G16" s="53">
        <v>1</v>
      </c>
      <c r="H16" s="53">
        <v>0</v>
      </c>
      <c r="I16" s="53">
        <f>G16*H16</f>
        <v>0</v>
      </c>
      <c r="J16" s="54" t="s">
        <v>10</v>
      </c>
      <c r="K16" s="49"/>
      <c r="Z16" s="53">
        <f>IF(AQ16="5",BJ16,0)</f>
        <v>0</v>
      </c>
      <c r="AB16" s="53">
        <f>IF(AQ16="1",BH16,0)</f>
        <v>0</v>
      </c>
      <c r="AC16" s="53">
        <f>IF(AQ16="1",BI16,0)</f>
        <v>0</v>
      </c>
      <c r="AD16" s="53">
        <f>IF(AQ16="7",BH16,0)</f>
        <v>0</v>
      </c>
      <c r="AE16" s="53">
        <f>IF(AQ16="7",BI16,0)</f>
        <v>0</v>
      </c>
      <c r="AF16" s="53">
        <f>IF(AQ16="2",BH16,0)</f>
        <v>0</v>
      </c>
      <c r="AG16" s="53">
        <f>IF(AQ16="2",BI16,0)</f>
        <v>0</v>
      </c>
      <c r="AH16" s="53">
        <f>IF(AQ16="0",BJ16,0)</f>
        <v>0</v>
      </c>
      <c r="AI16" s="36" t="s">
        <v>117</v>
      </c>
      <c r="AJ16" s="53">
        <f>IF(AN16=0,I16,0)</f>
        <v>0</v>
      </c>
      <c r="AK16" s="53">
        <f>IF(AN16=12,I16,0)</f>
        <v>0</v>
      </c>
      <c r="AL16" s="53">
        <f>IF(AN16=21,I16,0)</f>
        <v>0</v>
      </c>
      <c r="AN16" s="53">
        <v>21</v>
      </c>
      <c r="AO16" s="53">
        <f>H16*0.118633913</f>
        <v>0</v>
      </c>
      <c r="AP16" s="53">
        <f>H16*(1-0.118633913)</f>
        <v>0</v>
      </c>
      <c r="AQ16" s="54" t="s">
        <v>121</v>
      </c>
      <c r="AV16" s="53">
        <f>AW16+AX16</f>
        <v>0</v>
      </c>
      <c r="AW16" s="53">
        <f>G16*AO16</f>
        <v>0</v>
      </c>
      <c r="AX16" s="53">
        <f>G16*AP16</f>
        <v>0</v>
      </c>
      <c r="AY16" s="54" t="s">
        <v>134</v>
      </c>
      <c r="AZ16" s="54" t="s">
        <v>135</v>
      </c>
      <c r="BA16" s="36" t="s">
        <v>127</v>
      </c>
      <c r="BC16" s="53">
        <f>AW16+AX16</f>
        <v>0</v>
      </c>
      <c r="BD16" s="53">
        <f>H16/(100-BE16)*100</f>
        <v>0</v>
      </c>
      <c r="BE16" s="53">
        <v>0</v>
      </c>
      <c r="BF16" s="53">
        <f>16</f>
        <v>16</v>
      </c>
      <c r="BH16" s="53">
        <f>G16*AO16</f>
        <v>0</v>
      </c>
      <c r="BI16" s="53">
        <f>G16*AP16</f>
        <v>0</v>
      </c>
      <c r="BJ16" s="53">
        <f>G16*H16</f>
        <v>0</v>
      </c>
      <c r="BK16" s="53"/>
      <c r="BL16" s="53">
        <v>90</v>
      </c>
      <c r="BW16" s="53">
        <v>21</v>
      </c>
      <c r="BX16" s="3" t="s">
        <v>132</v>
      </c>
    </row>
    <row r="17" spans="1:76" ht="14.4" x14ac:dyDescent="0.3">
      <c r="A17" s="50" t="s">
        <v>10</v>
      </c>
      <c r="B17" s="51" t="s">
        <v>117</v>
      </c>
      <c r="C17" s="51" t="s">
        <v>136</v>
      </c>
      <c r="D17" s="133" t="s">
        <v>59</v>
      </c>
      <c r="E17" s="134"/>
      <c r="F17" s="52" t="s">
        <v>80</v>
      </c>
      <c r="G17" s="52" t="s">
        <v>80</v>
      </c>
      <c r="H17" s="52" t="s">
        <v>80</v>
      </c>
      <c r="I17" s="28">
        <f>I18+I22+I25</f>
        <v>0</v>
      </c>
      <c r="J17" s="36" t="s">
        <v>10</v>
      </c>
      <c r="K17" s="49"/>
      <c r="AI17" s="36" t="s">
        <v>117</v>
      </c>
    </row>
    <row r="18" spans="1:76" ht="14.4" x14ac:dyDescent="0.3">
      <c r="A18" s="50" t="s">
        <v>10</v>
      </c>
      <c r="B18" s="51" t="s">
        <v>117</v>
      </c>
      <c r="C18" s="51" t="s">
        <v>137</v>
      </c>
      <c r="D18" s="133" t="s">
        <v>70</v>
      </c>
      <c r="E18" s="134"/>
      <c r="F18" s="52" t="s">
        <v>80</v>
      </c>
      <c r="G18" s="52" t="s">
        <v>80</v>
      </c>
      <c r="H18" s="52" t="s">
        <v>80</v>
      </c>
      <c r="I18" s="28">
        <f>SUM(I19:I21)</f>
        <v>0</v>
      </c>
      <c r="J18" s="36" t="s">
        <v>10</v>
      </c>
      <c r="K18" s="49"/>
      <c r="AI18" s="36" t="s">
        <v>117</v>
      </c>
      <c r="AS18" s="28">
        <f>SUM(AJ19:AJ21)</f>
        <v>0</v>
      </c>
      <c r="AT18" s="28">
        <f>SUM(AK19:AK21)</f>
        <v>0</v>
      </c>
      <c r="AU18" s="28">
        <f>SUM(AL19:AL21)</f>
        <v>0</v>
      </c>
    </row>
    <row r="19" spans="1:76" ht="26.4" x14ac:dyDescent="0.3">
      <c r="A19" s="1" t="s">
        <v>138</v>
      </c>
      <c r="B19" s="2" t="s">
        <v>117</v>
      </c>
      <c r="C19" s="2" t="s">
        <v>139</v>
      </c>
      <c r="D19" s="62" t="s">
        <v>140</v>
      </c>
      <c r="E19" s="63"/>
      <c r="F19" s="2" t="s">
        <v>133</v>
      </c>
      <c r="G19" s="53">
        <v>1</v>
      </c>
      <c r="H19" s="53">
        <v>0</v>
      </c>
      <c r="I19" s="53">
        <f>G19*H19</f>
        <v>0</v>
      </c>
      <c r="J19" s="54" t="s">
        <v>141</v>
      </c>
      <c r="K19" s="49"/>
      <c r="Z19" s="53">
        <f>IF(AQ19="5",BJ19,0)</f>
        <v>0</v>
      </c>
      <c r="AB19" s="53">
        <f>IF(AQ19="1",BH19,0)</f>
        <v>0</v>
      </c>
      <c r="AC19" s="53">
        <f>IF(AQ19="1",BI19,0)</f>
        <v>0</v>
      </c>
      <c r="AD19" s="53">
        <f>IF(AQ19="7",BH19,0)</f>
        <v>0</v>
      </c>
      <c r="AE19" s="53">
        <f>IF(AQ19="7",BI19,0)</f>
        <v>0</v>
      </c>
      <c r="AF19" s="53">
        <f>IF(AQ19="2",BH19,0)</f>
        <v>0</v>
      </c>
      <c r="AG19" s="53">
        <f>IF(AQ19="2",BI19,0)</f>
        <v>0</v>
      </c>
      <c r="AH19" s="53">
        <f>IF(AQ19="0",BJ19,0)</f>
        <v>0</v>
      </c>
      <c r="AI19" s="36" t="s">
        <v>117</v>
      </c>
      <c r="AJ19" s="53">
        <f>IF(AN19=0,I19,0)</f>
        <v>0</v>
      </c>
      <c r="AK19" s="53">
        <f>IF(AN19=12,I19,0)</f>
        <v>0</v>
      </c>
      <c r="AL19" s="53">
        <f>IF(AN19=21,I19,0)</f>
        <v>0</v>
      </c>
      <c r="AN19" s="53">
        <v>21</v>
      </c>
      <c r="AO19" s="53">
        <f>H19*0</f>
        <v>0</v>
      </c>
      <c r="AP19" s="53">
        <f>H19*(1-0)</f>
        <v>0</v>
      </c>
      <c r="AQ19" s="54" t="s">
        <v>142</v>
      </c>
      <c r="AV19" s="53">
        <f>AW19+AX19</f>
        <v>0</v>
      </c>
      <c r="AW19" s="53">
        <f>G19*AO19</f>
        <v>0</v>
      </c>
      <c r="AX19" s="53">
        <f>G19*AP19</f>
        <v>0</v>
      </c>
      <c r="AY19" s="54" t="s">
        <v>143</v>
      </c>
      <c r="AZ19" s="54" t="s">
        <v>144</v>
      </c>
      <c r="BA19" s="36" t="s">
        <v>127</v>
      </c>
      <c r="BC19" s="53">
        <f>AW19+AX19</f>
        <v>0</v>
      </c>
      <c r="BD19" s="53">
        <f>H19/(100-BE19)*100</f>
        <v>0</v>
      </c>
      <c r="BE19" s="53">
        <v>0</v>
      </c>
      <c r="BF19" s="53">
        <f>19</f>
        <v>19</v>
      </c>
      <c r="BH19" s="53">
        <f>G19*AO19</f>
        <v>0</v>
      </c>
      <c r="BI19" s="53">
        <f>G19*AP19</f>
        <v>0</v>
      </c>
      <c r="BJ19" s="53">
        <f>G19*H19</f>
        <v>0</v>
      </c>
      <c r="BK19" s="53"/>
      <c r="BL19" s="53"/>
      <c r="BM19" s="53">
        <f>G19*H19</f>
        <v>0</v>
      </c>
      <c r="BW19" s="53">
        <v>21</v>
      </c>
      <c r="BX19" s="3" t="s">
        <v>140</v>
      </c>
    </row>
    <row r="20" spans="1:76" ht="14.4" x14ac:dyDescent="0.3">
      <c r="A20" s="1" t="s">
        <v>145</v>
      </c>
      <c r="B20" s="2" t="s">
        <v>117</v>
      </c>
      <c r="C20" s="2" t="s">
        <v>139</v>
      </c>
      <c r="D20" s="62" t="s">
        <v>146</v>
      </c>
      <c r="E20" s="63"/>
      <c r="F20" s="2" t="s">
        <v>133</v>
      </c>
      <c r="G20" s="53">
        <v>6</v>
      </c>
      <c r="H20" s="53">
        <v>0</v>
      </c>
      <c r="I20" s="53">
        <f>G20*H20</f>
        <v>0</v>
      </c>
      <c r="J20" s="54" t="s">
        <v>141</v>
      </c>
      <c r="K20" s="49"/>
      <c r="Z20" s="53">
        <f>IF(AQ20="5",BJ20,0)</f>
        <v>0</v>
      </c>
      <c r="AB20" s="53">
        <f>IF(AQ20="1",BH20,0)</f>
        <v>0</v>
      </c>
      <c r="AC20" s="53">
        <f>IF(AQ20="1",BI20,0)</f>
        <v>0</v>
      </c>
      <c r="AD20" s="53">
        <f>IF(AQ20="7",BH20,0)</f>
        <v>0</v>
      </c>
      <c r="AE20" s="53">
        <f>IF(AQ20="7",BI20,0)</f>
        <v>0</v>
      </c>
      <c r="AF20" s="53">
        <f>IF(AQ20="2",BH20,0)</f>
        <v>0</v>
      </c>
      <c r="AG20" s="53">
        <f>IF(AQ20="2",BI20,0)</f>
        <v>0</v>
      </c>
      <c r="AH20" s="53">
        <f>IF(AQ20="0",BJ20,0)</f>
        <v>0</v>
      </c>
      <c r="AI20" s="36" t="s">
        <v>117</v>
      </c>
      <c r="AJ20" s="53">
        <f>IF(AN20=0,I20,0)</f>
        <v>0</v>
      </c>
      <c r="AK20" s="53">
        <f>IF(AN20=12,I20,0)</f>
        <v>0</v>
      </c>
      <c r="AL20" s="53">
        <f>IF(AN20=21,I20,0)</f>
        <v>0</v>
      </c>
      <c r="AN20" s="53">
        <v>21</v>
      </c>
      <c r="AO20" s="53">
        <f>H20*0</f>
        <v>0</v>
      </c>
      <c r="AP20" s="53">
        <f>H20*(1-0)</f>
        <v>0</v>
      </c>
      <c r="AQ20" s="54" t="s">
        <v>142</v>
      </c>
      <c r="AV20" s="53">
        <f>AW20+AX20</f>
        <v>0</v>
      </c>
      <c r="AW20" s="53">
        <f>G20*AO20</f>
        <v>0</v>
      </c>
      <c r="AX20" s="53">
        <f>G20*AP20</f>
        <v>0</v>
      </c>
      <c r="AY20" s="54" t="s">
        <v>143</v>
      </c>
      <c r="AZ20" s="54" t="s">
        <v>144</v>
      </c>
      <c r="BA20" s="36" t="s">
        <v>127</v>
      </c>
      <c r="BC20" s="53">
        <f>AW20+AX20</f>
        <v>0</v>
      </c>
      <c r="BD20" s="53">
        <f>H20/(100-BE20)*100</f>
        <v>0</v>
      </c>
      <c r="BE20" s="53">
        <v>0</v>
      </c>
      <c r="BF20" s="53">
        <f>20</f>
        <v>20</v>
      </c>
      <c r="BH20" s="53">
        <f>G20*AO20</f>
        <v>0</v>
      </c>
      <c r="BI20" s="53">
        <f>G20*AP20</f>
        <v>0</v>
      </c>
      <c r="BJ20" s="53">
        <f>G20*H20</f>
        <v>0</v>
      </c>
      <c r="BK20" s="53"/>
      <c r="BL20" s="53"/>
      <c r="BM20" s="53">
        <f>G20*H20</f>
        <v>0</v>
      </c>
      <c r="BW20" s="53">
        <v>21</v>
      </c>
      <c r="BX20" s="3" t="s">
        <v>146</v>
      </c>
    </row>
    <row r="21" spans="1:76" ht="14.4" x14ac:dyDescent="0.3">
      <c r="A21" s="1" t="s">
        <v>147</v>
      </c>
      <c r="B21" s="2" t="s">
        <v>117</v>
      </c>
      <c r="C21" s="2" t="s">
        <v>139</v>
      </c>
      <c r="D21" s="62" t="s">
        <v>148</v>
      </c>
      <c r="E21" s="63"/>
      <c r="F21" s="2" t="s">
        <v>133</v>
      </c>
      <c r="G21" s="53">
        <v>1</v>
      </c>
      <c r="H21" s="53">
        <v>0</v>
      </c>
      <c r="I21" s="53">
        <f>G21*H21</f>
        <v>0</v>
      </c>
      <c r="J21" s="54" t="s">
        <v>149</v>
      </c>
      <c r="K21" s="49"/>
      <c r="Z21" s="53">
        <f>IF(AQ21="5",BJ21,0)</f>
        <v>0</v>
      </c>
      <c r="AB21" s="53">
        <f>IF(AQ21="1",BH21,0)</f>
        <v>0</v>
      </c>
      <c r="AC21" s="53">
        <f>IF(AQ21="1",BI21,0)</f>
        <v>0</v>
      </c>
      <c r="AD21" s="53">
        <f>IF(AQ21="7",BH21,0)</f>
        <v>0</v>
      </c>
      <c r="AE21" s="53">
        <f>IF(AQ21="7",BI21,0)</f>
        <v>0</v>
      </c>
      <c r="AF21" s="53">
        <f>IF(AQ21="2",BH21,0)</f>
        <v>0</v>
      </c>
      <c r="AG21" s="53">
        <f>IF(AQ21="2",BI21,0)</f>
        <v>0</v>
      </c>
      <c r="AH21" s="53">
        <f>IF(AQ21="0",BJ21,0)</f>
        <v>0</v>
      </c>
      <c r="AI21" s="36" t="s">
        <v>117</v>
      </c>
      <c r="AJ21" s="53">
        <f>IF(AN21=0,I21,0)</f>
        <v>0</v>
      </c>
      <c r="AK21" s="53">
        <f>IF(AN21=12,I21,0)</f>
        <v>0</v>
      </c>
      <c r="AL21" s="53">
        <f>IF(AN21=21,I21,0)</f>
        <v>0</v>
      </c>
      <c r="AN21" s="53">
        <v>21</v>
      </c>
      <c r="AO21" s="53">
        <f>H21*0</f>
        <v>0</v>
      </c>
      <c r="AP21" s="53">
        <f>H21*(1-0)</f>
        <v>0</v>
      </c>
      <c r="AQ21" s="54" t="s">
        <v>142</v>
      </c>
      <c r="AV21" s="53">
        <f>AW21+AX21</f>
        <v>0</v>
      </c>
      <c r="AW21" s="53">
        <f>G21*AO21</f>
        <v>0</v>
      </c>
      <c r="AX21" s="53">
        <f>G21*AP21</f>
        <v>0</v>
      </c>
      <c r="AY21" s="54" t="s">
        <v>143</v>
      </c>
      <c r="AZ21" s="54" t="s">
        <v>144</v>
      </c>
      <c r="BA21" s="36" t="s">
        <v>127</v>
      </c>
      <c r="BC21" s="53">
        <f>AW21+AX21</f>
        <v>0</v>
      </c>
      <c r="BD21" s="53">
        <f>H21/(100-BE21)*100</f>
        <v>0</v>
      </c>
      <c r="BE21" s="53">
        <v>0</v>
      </c>
      <c r="BF21" s="53">
        <f>21</f>
        <v>21</v>
      </c>
      <c r="BH21" s="53">
        <f>G21*AO21</f>
        <v>0</v>
      </c>
      <c r="BI21" s="53">
        <f>G21*AP21</f>
        <v>0</v>
      </c>
      <c r="BJ21" s="53">
        <f>G21*H21</f>
        <v>0</v>
      </c>
      <c r="BK21" s="53"/>
      <c r="BL21" s="53"/>
      <c r="BM21" s="53">
        <f>G21*H21</f>
        <v>0</v>
      </c>
      <c r="BW21" s="53">
        <v>21</v>
      </c>
      <c r="BX21" s="3" t="s">
        <v>148</v>
      </c>
    </row>
    <row r="22" spans="1:76" ht="14.4" x14ac:dyDescent="0.3">
      <c r="A22" s="50" t="s">
        <v>10</v>
      </c>
      <c r="B22" s="51" t="s">
        <v>117</v>
      </c>
      <c r="C22" s="51" t="s">
        <v>150</v>
      </c>
      <c r="D22" s="133" t="s">
        <v>71</v>
      </c>
      <c r="E22" s="134"/>
      <c r="F22" s="52" t="s">
        <v>80</v>
      </c>
      <c r="G22" s="52" t="s">
        <v>80</v>
      </c>
      <c r="H22" s="52" t="s">
        <v>80</v>
      </c>
      <c r="I22" s="28">
        <f>SUM(I23:I24)</f>
        <v>0</v>
      </c>
      <c r="J22" s="36" t="s">
        <v>10</v>
      </c>
      <c r="K22" s="49"/>
      <c r="AI22" s="36" t="s">
        <v>117</v>
      </c>
      <c r="AS22" s="28">
        <f>SUM(AJ23:AJ24)</f>
        <v>0</v>
      </c>
      <c r="AT22" s="28">
        <f>SUM(AK23:AK24)</f>
        <v>0</v>
      </c>
      <c r="AU22" s="28">
        <f>SUM(AL23:AL24)</f>
        <v>0</v>
      </c>
    </row>
    <row r="23" spans="1:76" ht="14.4" x14ac:dyDescent="0.3">
      <c r="A23" s="1" t="s">
        <v>151</v>
      </c>
      <c r="B23" s="2" t="s">
        <v>117</v>
      </c>
      <c r="C23" s="2" t="s">
        <v>152</v>
      </c>
      <c r="D23" s="62" t="s">
        <v>71</v>
      </c>
      <c r="E23" s="63"/>
      <c r="F23" s="2" t="s">
        <v>133</v>
      </c>
      <c r="G23" s="53">
        <v>1</v>
      </c>
      <c r="H23" s="53">
        <v>0</v>
      </c>
      <c r="I23" s="53">
        <f>G23*H23</f>
        <v>0</v>
      </c>
      <c r="J23" s="54" t="s">
        <v>141</v>
      </c>
      <c r="K23" s="49"/>
      <c r="Z23" s="53">
        <f>IF(AQ23="5",BJ23,0)</f>
        <v>0</v>
      </c>
      <c r="AB23" s="53">
        <f>IF(AQ23="1",BH23,0)</f>
        <v>0</v>
      </c>
      <c r="AC23" s="53">
        <f>IF(AQ23="1",BI23,0)</f>
        <v>0</v>
      </c>
      <c r="AD23" s="53">
        <f>IF(AQ23="7",BH23,0)</f>
        <v>0</v>
      </c>
      <c r="AE23" s="53">
        <f>IF(AQ23="7",BI23,0)</f>
        <v>0</v>
      </c>
      <c r="AF23" s="53">
        <f>IF(AQ23="2",BH23,0)</f>
        <v>0</v>
      </c>
      <c r="AG23" s="53">
        <f>IF(AQ23="2",BI23,0)</f>
        <v>0</v>
      </c>
      <c r="AH23" s="53">
        <f>IF(AQ23="0",BJ23,0)</f>
        <v>0</v>
      </c>
      <c r="AI23" s="36" t="s">
        <v>117</v>
      </c>
      <c r="AJ23" s="53">
        <f>IF(AN23=0,I23,0)</f>
        <v>0</v>
      </c>
      <c r="AK23" s="53">
        <f>IF(AN23=12,I23,0)</f>
        <v>0</v>
      </c>
      <c r="AL23" s="53">
        <f>IF(AN23=21,I23,0)</f>
        <v>0</v>
      </c>
      <c r="AN23" s="53">
        <v>21</v>
      </c>
      <c r="AO23" s="53">
        <f>H23*0.25</f>
        <v>0</v>
      </c>
      <c r="AP23" s="53">
        <f>H23*(1-0.25)</f>
        <v>0</v>
      </c>
      <c r="AQ23" s="54" t="s">
        <v>142</v>
      </c>
      <c r="AV23" s="53">
        <f>AW23+AX23</f>
        <v>0</v>
      </c>
      <c r="AW23" s="53">
        <f>G23*AO23</f>
        <v>0</v>
      </c>
      <c r="AX23" s="53">
        <f>G23*AP23</f>
        <v>0</v>
      </c>
      <c r="AY23" s="54" t="s">
        <v>153</v>
      </c>
      <c r="AZ23" s="54" t="s">
        <v>144</v>
      </c>
      <c r="BA23" s="36" t="s">
        <v>127</v>
      </c>
      <c r="BC23" s="53">
        <f>AW23+AX23</f>
        <v>0</v>
      </c>
      <c r="BD23" s="53">
        <f>H23/(100-BE23)*100</f>
        <v>0</v>
      </c>
      <c r="BE23" s="53">
        <v>0</v>
      </c>
      <c r="BF23" s="53">
        <f>23</f>
        <v>23</v>
      </c>
      <c r="BH23" s="53">
        <f>G23*AO23</f>
        <v>0</v>
      </c>
      <c r="BI23" s="53">
        <f>G23*AP23</f>
        <v>0</v>
      </c>
      <c r="BJ23" s="53">
        <f>G23*H23</f>
        <v>0</v>
      </c>
      <c r="BK23" s="53"/>
      <c r="BL23" s="53"/>
      <c r="BN23" s="53">
        <f>G23*H23</f>
        <v>0</v>
      </c>
      <c r="BW23" s="53">
        <v>21</v>
      </c>
      <c r="BX23" s="3" t="s">
        <v>71</v>
      </c>
    </row>
    <row r="24" spans="1:76" ht="14.4" x14ac:dyDescent="0.3">
      <c r="A24" s="1" t="s">
        <v>154</v>
      </c>
      <c r="B24" s="2" t="s">
        <v>117</v>
      </c>
      <c r="C24" s="2" t="s">
        <v>155</v>
      </c>
      <c r="D24" s="62" t="s">
        <v>156</v>
      </c>
      <c r="E24" s="63"/>
      <c r="F24" s="2" t="s">
        <v>133</v>
      </c>
      <c r="G24" s="53">
        <v>1</v>
      </c>
      <c r="H24" s="53">
        <v>0</v>
      </c>
      <c r="I24" s="53">
        <f>G24*H24</f>
        <v>0</v>
      </c>
      <c r="J24" s="54" t="s">
        <v>141</v>
      </c>
      <c r="K24" s="49"/>
      <c r="Z24" s="53">
        <f>IF(AQ24="5",BJ24,0)</f>
        <v>0</v>
      </c>
      <c r="AB24" s="53">
        <f>IF(AQ24="1",BH24,0)</f>
        <v>0</v>
      </c>
      <c r="AC24" s="53">
        <f>IF(AQ24="1",BI24,0)</f>
        <v>0</v>
      </c>
      <c r="AD24" s="53">
        <f>IF(AQ24="7",BH24,0)</f>
        <v>0</v>
      </c>
      <c r="AE24" s="53">
        <f>IF(AQ24="7",BI24,0)</f>
        <v>0</v>
      </c>
      <c r="AF24" s="53">
        <f>IF(AQ24="2",BH24,0)</f>
        <v>0</v>
      </c>
      <c r="AG24" s="53">
        <f>IF(AQ24="2",BI24,0)</f>
        <v>0</v>
      </c>
      <c r="AH24" s="53">
        <f>IF(AQ24="0",BJ24,0)</f>
        <v>0</v>
      </c>
      <c r="AI24" s="36" t="s">
        <v>117</v>
      </c>
      <c r="AJ24" s="53">
        <f>IF(AN24=0,I24,0)</f>
        <v>0</v>
      </c>
      <c r="AK24" s="53">
        <f>IF(AN24=12,I24,0)</f>
        <v>0</v>
      </c>
      <c r="AL24" s="53">
        <f>IF(AN24=21,I24,0)</f>
        <v>0</v>
      </c>
      <c r="AN24" s="53">
        <v>21</v>
      </c>
      <c r="AO24" s="53">
        <f>H24*0</f>
        <v>0</v>
      </c>
      <c r="AP24" s="53">
        <f>H24*(1-0)</f>
        <v>0</v>
      </c>
      <c r="AQ24" s="54" t="s">
        <v>142</v>
      </c>
      <c r="AV24" s="53">
        <f>AW24+AX24</f>
        <v>0</v>
      </c>
      <c r="AW24" s="53">
        <f>G24*AO24</f>
        <v>0</v>
      </c>
      <c r="AX24" s="53">
        <f>G24*AP24</f>
        <v>0</v>
      </c>
      <c r="AY24" s="54" t="s">
        <v>153</v>
      </c>
      <c r="AZ24" s="54" t="s">
        <v>144</v>
      </c>
      <c r="BA24" s="36" t="s">
        <v>127</v>
      </c>
      <c r="BC24" s="53">
        <f>AW24+AX24</f>
        <v>0</v>
      </c>
      <c r="BD24" s="53">
        <f>H24/(100-BE24)*100</f>
        <v>0</v>
      </c>
      <c r="BE24" s="53">
        <v>0</v>
      </c>
      <c r="BF24" s="53">
        <f>24</f>
        <v>24</v>
      </c>
      <c r="BH24" s="53">
        <f>G24*AO24</f>
        <v>0</v>
      </c>
      <c r="BI24" s="53">
        <f>G24*AP24</f>
        <v>0</v>
      </c>
      <c r="BJ24" s="53">
        <f>G24*H24</f>
        <v>0</v>
      </c>
      <c r="BK24" s="53"/>
      <c r="BL24" s="53"/>
      <c r="BN24" s="53">
        <f>G24*H24</f>
        <v>0</v>
      </c>
      <c r="BW24" s="53">
        <v>21</v>
      </c>
      <c r="BX24" s="3" t="s">
        <v>156</v>
      </c>
    </row>
    <row r="25" spans="1:76" ht="14.4" x14ac:dyDescent="0.3">
      <c r="A25" s="50" t="s">
        <v>10</v>
      </c>
      <c r="B25" s="51" t="s">
        <v>117</v>
      </c>
      <c r="C25" s="51" t="s">
        <v>157</v>
      </c>
      <c r="D25" s="133" t="s">
        <v>27</v>
      </c>
      <c r="E25" s="134"/>
      <c r="F25" s="52" t="s">
        <v>80</v>
      </c>
      <c r="G25" s="52" t="s">
        <v>80</v>
      </c>
      <c r="H25" s="52" t="s">
        <v>80</v>
      </c>
      <c r="I25" s="28">
        <f>SUM(I26:I29)</f>
        <v>0</v>
      </c>
      <c r="J25" s="36" t="s">
        <v>10</v>
      </c>
      <c r="K25" s="49"/>
      <c r="AI25" s="36" t="s">
        <v>117</v>
      </c>
      <c r="AS25" s="28">
        <f>SUM(AJ26:AJ29)</f>
        <v>0</v>
      </c>
      <c r="AT25" s="28">
        <f>SUM(AK26:AK29)</f>
        <v>0</v>
      </c>
      <c r="AU25" s="28">
        <f>SUM(AL26:AL29)</f>
        <v>0</v>
      </c>
    </row>
    <row r="26" spans="1:76" ht="14.4" x14ac:dyDescent="0.3">
      <c r="A26" s="1" t="s">
        <v>158</v>
      </c>
      <c r="B26" s="2" t="s">
        <v>117</v>
      </c>
      <c r="C26" s="2" t="s">
        <v>159</v>
      </c>
      <c r="D26" s="62" t="s">
        <v>27</v>
      </c>
      <c r="E26" s="63"/>
      <c r="F26" s="2" t="s">
        <v>133</v>
      </c>
      <c r="G26" s="53">
        <v>1</v>
      </c>
      <c r="H26" s="53">
        <v>0</v>
      </c>
      <c r="I26" s="53">
        <f>G26*H26</f>
        <v>0</v>
      </c>
      <c r="J26" s="54" t="s">
        <v>141</v>
      </c>
      <c r="K26" s="49"/>
      <c r="Z26" s="53">
        <f>IF(AQ26="5",BJ26,0)</f>
        <v>0</v>
      </c>
      <c r="AB26" s="53">
        <f>IF(AQ26="1",BH26,0)</f>
        <v>0</v>
      </c>
      <c r="AC26" s="53">
        <f>IF(AQ26="1",BI26,0)</f>
        <v>0</v>
      </c>
      <c r="AD26" s="53">
        <f>IF(AQ26="7",BH26,0)</f>
        <v>0</v>
      </c>
      <c r="AE26" s="53">
        <f>IF(AQ26="7",BI26,0)</f>
        <v>0</v>
      </c>
      <c r="AF26" s="53">
        <f>IF(AQ26="2",BH26,0)</f>
        <v>0</v>
      </c>
      <c r="AG26" s="53">
        <f>IF(AQ26="2",BI26,0)</f>
        <v>0</v>
      </c>
      <c r="AH26" s="53">
        <f>IF(AQ26="0",BJ26,0)</f>
        <v>0</v>
      </c>
      <c r="AI26" s="36" t="s">
        <v>117</v>
      </c>
      <c r="AJ26" s="53">
        <f>IF(AN26=0,I26,0)</f>
        <v>0</v>
      </c>
      <c r="AK26" s="53">
        <f>IF(AN26=12,I26,0)</f>
        <v>0</v>
      </c>
      <c r="AL26" s="53">
        <f>IF(AN26=21,I26,0)</f>
        <v>0</v>
      </c>
      <c r="AN26" s="53">
        <v>21</v>
      </c>
      <c r="AO26" s="53">
        <f>H26*0.135135135</f>
        <v>0</v>
      </c>
      <c r="AP26" s="53">
        <f>H26*(1-0.135135135)</f>
        <v>0</v>
      </c>
      <c r="AQ26" s="54" t="s">
        <v>142</v>
      </c>
      <c r="AV26" s="53">
        <f>AW26+AX26</f>
        <v>0</v>
      </c>
      <c r="AW26" s="53">
        <f>G26*AO26</f>
        <v>0</v>
      </c>
      <c r="AX26" s="53">
        <f>G26*AP26</f>
        <v>0</v>
      </c>
      <c r="AY26" s="54" t="s">
        <v>160</v>
      </c>
      <c r="AZ26" s="54" t="s">
        <v>144</v>
      </c>
      <c r="BA26" s="36" t="s">
        <v>127</v>
      </c>
      <c r="BC26" s="53">
        <f>AW26+AX26</f>
        <v>0</v>
      </c>
      <c r="BD26" s="53">
        <f>H26/(100-BE26)*100</f>
        <v>0</v>
      </c>
      <c r="BE26" s="53">
        <v>0</v>
      </c>
      <c r="BF26" s="53">
        <f>26</f>
        <v>26</v>
      </c>
      <c r="BH26" s="53">
        <f>G26*AO26</f>
        <v>0</v>
      </c>
      <c r="BI26" s="53">
        <f>G26*AP26</f>
        <v>0</v>
      </c>
      <c r="BJ26" s="53">
        <f>G26*H26</f>
        <v>0</v>
      </c>
      <c r="BK26" s="53"/>
      <c r="BL26" s="53"/>
      <c r="BO26" s="53">
        <f>G26*H26</f>
        <v>0</v>
      </c>
      <c r="BW26" s="53">
        <v>21</v>
      </c>
      <c r="BX26" s="3" t="s">
        <v>27</v>
      </c>
    </row>
    <row r="27" spans="1:76" ht="14.4" x14ac:dyDescent="0.3">
      <c r="A27" s="1" t="s">
        <v>161</v>
      </c>
      <c r="B27" s="2" t="s">
        <v>117</v>
      </c>
      <c r="C27" s="2" t="s">
        <v>162</v>
      </c>
      <c r="D27" s="62" t="s">
        <v>163</v>
      </c>
      <c r="E27" s="63"/>
      <c r="F27" s="2" t="s">
        <v>133</v>
      </c>
      <c r="G27" s="53">
        <v>1</v>
      </c>
      <c r="H27" s="53">
        <v>0</v>
      </c>
      <c r="I27" s="53">
        <f>G27*H27</f>
        <v>0</v>
      </c>
      <c r="J27" s="54" t="s">
        <v>141</v>
      </c>
      <c r="K27" s="49"/>
      <c r="Z27" s="53">
        <f>IF(AQ27="5",BJ27,0)</f>
        <v>0</v>
      </c>
      <c r="AB27" s="53">
        <f>IF(AQ27="1",BH27,0)</f>
        <v>0</v>
      </c>
      <c r="AC27" s="53">
        <f>IF(AQ27="1",BI27,0)</f>
        <v>0</v>
      </c>
      <c r="AD27" s="53">
        <f>IF(AQ27="7",BH27,0)</f>
        <v>0</v>
      </c>
      <c r="AE27" s="53">
        <f>IF(AQ27="7",BI27,0)</f>
        <v>0</v>
      </c>
      <c r="AF27" s="53">
        <f>IF(AQ27="2",BH27,0)</f>
        <v>0</v>
      </c>
      <c r="AG27" s="53">
        <f>IF(AQ27="2",BI27,0)</f>
        <v>0</v>
      </c>
      <c r="AH27" s="53">
        <f>IF(AQ27="0",BJ27,0)</f>
        <v>0</v>
      </c>
      <c r="AI27" s="36" t="s">
        <v>117</v>
      </c>
      <c r="AJ27" s="53">
        <f>IF(AN27=0,I27,0)</f>
        <v>0</v>
      </c>
      <c r="AK27" s="53">
        <f>IF(AN27=12,I27,0)</f>
        <v>0</v>
      </c>
      <c r="AL27" s="53">
        <f>IF(AN27=21,I27,0)</f>
        <v>0</v>
      </c>
      <c r="AN27" s="53">
        <v>21</v>
      </c>
      <c r="AO27" s="53">
        <f>H27*0.269230769</f>
        <v>0</v>
      </c>
      <c r="AP27" s="53">
        <f>H27*(1-0.269230769)</f>
        <v>0</v>
      </c>
      <c r="AQ27" s="54" t="s">
        <v>142</v>
      </c>
      <c r="AV27" s="53">
        <f>AW27+AX27</f>
        <v>0</v>
      </c>
      <c r="AW27" s="53">
        <f>G27*AO27</f>
        <v>0</v>
      </c>
      <c r="AX27" s="53">
        <f>G27*AP27</f>
        <v>0</v>
      </c>
      <c r="AY27" s="54" t="s">
        <v>160</v>
      </c>
      <c r="AZ27" s="54" t="s">
        <v>144</v>
      </c>
      <c r="BA27" s="36" t="s">
        <v>127</v>
      </c>
      <c r="BC27" s="53">
        <f>AW27+AX27</f>
        <v>0</v>
      </c>
      <c r="BD27" s="53">
        <f>H27/(100-BE27)*100</f>
        <v>0</v>
      </c>
      <c r="BE27" s="53">
        <v>0</v>
      </c>
      <c r="BF27" s="53">
        <f>27</f>
        <v>27</v>
      </c>
      <c r="BH27" s="53">
        <f>G27*AO27</f>
        <v>0</v>
      </c>
      <c r="BI27" s="53">
        <f>G27*AP27</f>
        <v>0</v>
      </c>
      <c r="BJ27" s="53">
        <f>G27*H27</f>
        <v>0</v>
      </c>
      <c r="BK27" s="53"/>
      <c r="BL27" s="53"/>
      <c r="BO27" s="53">
        <f>G27*H27</f>
        <v>0</v>
      </c>
      <c r="BW27" s="53">
        <v>21</v>
      </c>
      <c r="BX27" s="3" t="s">
        <v>163</v>
      </c>
    </row>
    <row r="28" spans="1:76" ht="14.4" x14ac:dyDescent="0.3">
      <c r="A28" s="1" t="s">
        <v>164</v>
      </c>
      <c r="B28" s="2" t="s">
        <v>117</v>
      </c>
      <c r="C28" s="2" t="s">
        <v>165</v>
      </c>
      <c r="D28" s="62" t="s">
        <v>166</v>
      </c>
      <c r="E28" s="63"/>
      <c r="F28" s="2" t="s">
        <v>133</v>
      </c>
      <c r="G28" s="53">
        <v>1</v>
      </c>
      <c r="H28" s="53">
        <v>0</v>
      </c>
      <c r="I28" s="53">
        <f>G28*H28</f>
        <v>0</v>
      </c>
      <c r="J28" s="54" t="s">
        <v>141</v>
      </c>
      <c r="K28" s="49"/>
      <c r="Z28" s="53">
        <f>IF(AQ28="5",BJ28,0)</f>
        <v>0</v>
      </c>
      <c r="AB28" s="53">
        <f>IF(AQ28="1",BH28,0)</f>
        <v>0</v>
      </c>
      <c r="AC28" s="53">
        <f>IF(AQ28="1",BI28,0)</f>
        <v>0</v>
      </c>
      <c r="AD28" s="53">
        <f>IF(AQ28="7",BH28,0)</f>
        <v>0</v>
      </c>
      <c r="AE28" s="53">
        <f>IF(AQ28="7",BI28,0)</f>
        <v>0</v>
      </c>
      <c r="AF28" s="53">
        <f>IF(AQ28="2",BH28,0)</f>
        <v>0</v>
      </c>
      <c r="AG28" s="53">
        <f>IF(AQ28="2",BI28,0)</f>
        <v>0</v>
      </c>
      <c r="AH28" s="53">
        <f>IF(AQ28="0",BJ28,0)</f>
        <v>0</v>
      </c>
      <c r="AI28" s="36" t="s">
        <v>117</v>
      </c>
      <c r="AJ28" s="53">
        <f>IF(AN28=0,I28,0)</f>
        <v>0</v>
      </c>
      <c r="AK28" s="53">
        <f>IF(AN28=12,I28,0)</f>
        <v>0</v>
      </c>
      <c r="AL28" s="53">
        <f>IF(AN28=21,I28,0)</f>
        <v>0</v>
      </c>
      <c r="AN28" s="53">
        <v>21</v>
      </c>
      <c r="AO28" s="53">
        <f>H28*0</f>
        <v>0</v>
      </c>
      <c r="AP28" s="53">
        <f>H28*(1-0)</f>
        <v>0</v>
      </c>
      <c r="AQ28" s="54" t="s">
        <v>142</v>
      </c>
      <c r="AV28" s="53">
        <f>AW28+AX28</f>
        <v>0</v>
      </c>
      <c r="AW28" s="53">
        <f>G28*AO28</f>
        <v>0</v>
      </c>
      <c r="AX28" s="53">
        <f>G28*AP28</f>
        <v>0</v>
      </c>
      <c r="AY28" s="54" t="s">
        <v>160</v>
      </c>
      <c r="AZ28" s="54" t="s">
        <v>144</v>
      </c>
      <c r="BA28" s="36" t="s">
        <v>127</v>
      </c>
      <c r="BC28" s="53">
        <f>AW28+AX28</f>
        <v>0</v>
      </c>
      <c r="BD28" s="53">
        <f>H28/(100-BE28)*100</f>
        <v>0</v>
      </c>
      <c r="BE28" s="53">
        <v>0</v>
      </c>
      <c r="BF28" s="53">
        <f>28</f>
        <v>28</v>
      </c>
      <c r="BH28" s="53">
        <f>G28*AO28</f>
        <v>0</v>
      </c>
      <c r="BI28" s="53">
        <f>G28*AP28</f>
        <v>0</v>
      </c>
      <c r="BJ28" s="53">
        <f>G28*H28</f>
        <v>0</v>
      </c>
      <c r="BK28" s="53"/>
      <c r="BL28" s="53"/>
      <c r="BO28" s="53">
        <f>G28*H28</f>
        <v>0</v>
      </c>
      <c r="BW28" s="53">
        <v>21</v>
      </c>
      <c r="BX28" s="3" t="s">
        <v>166</v>
      </c>
    </row>
    <row r="29" spans="1:76" ht="14.4" x14ac:dyDescent="0.3">
      <c r="A29" s="1" t="s">
        <v>167</v>
      </c>
      <c r="B29" s="2" t="s">
        <v>117</v>
      </c>
      <c r="C29" s="2" t="s">
        <v>168</v>
      </c>
      <c r="D29" s="62" t="s">
        <v>169</v>
      </c>
      <c r="E29" s="63"/>
      <c r="F29" s="2" t="s">
        <v>133</v>
      </c>
      <c r="G29" s="53">
        <v>1</v>
      </c>
      <c r="H29" s="53">
        <v>0</v>
      </c>
      <c r="I29" s="53">
        <f>G29*H29</f>
        <v>0</v>
      </c>
      <c r="J29" s="54" t="s">
        <v>141</v>
      </c>
      <c r="K29" s="49"/>
      <c r="Z29" s="53">
        <f>IF(AQ29="5",BJ29,0)</f>
        <v>0</v>
      </c>
      <c r="AB29" s="53">
        <f>IF(AQ29="1",BH29,0)</f>
        <v>0</v>
      </c>
      <c r="AC29" s="53">
        <f>IF(AQ29="1",BI29,0)</f>
        <v>0</v>
      </c>
      <c r="AD29" s="53">
        <f>IF(AQ29="7",BH29,0)</f>
        <v>0</v>
      </c>
      <c r="AE29" s="53">
        <f>IF(AQ29="7",BI29,0)</f>
        <v>0</v>
      </c>
      <c r="AF29" s="53">
        <f>IF(AQ29="2",BH29,0)</f>
        <v>0</v>
      </c>
      <c r="AG29" s="53">
        <f>IF(AQ29="2",BI29,0)</f>
        <v>0</v>
      </c>
      <c r="AH29" s="53">
        <f>IF(AQ29="0",BJ29,0)</f>
        <v>0</v>
      </c>
      <c r="AI29" s="36" t="s">
        <v>117</v>
      </c>
      <c r="AJ29" s="53">
        <f>IF(AN29=0,I29,0)</f>
        <v>0</v>
      </c>
      <c r="AK29" s="53">
        <f>IF(AN29=12,I29,0)</f>
        <v>0</v>
      </c>
      <c r="AL29" s="53">
        <f>IF(AN29=21,I29,0)</f>
        <v>0</v>
      </c>
      <c r="AN29" s="53">
        <v>21</v>
      </c>
      <c r="AO29" s="53">
        <f>H29*0.2</f>
        <v>0</v>
      </c>
      <c r="AP29" s="53">
        <f>H29*(1-0.2)</f>
        <v>0</v>
      </c>
      <c r="AQ29" s="54" t="s">
        <v>142</v>
      </c>
      <c r="AV29" s="53">
        <f>AW29+AX29</f>
        <v>0</v>
      </c>
      <c r="AW29" s="53">
        <f>G29*AO29</f>
        <v>0</v>
      </c>
      <c r="AX29" s="53">
        <f>G29*AP29</f>
        <v>0</v>
      </c>
      <c r="AY29" s="54" t="s">
        <v>160</v>
      </c>
      <c r="AZ29" s="54" t="s">
        <v>144</v>
      </c>
      <c r="BA29" s="36" t="s">
        <v>127</v>
      </c>
      <c r="BC29" s="53">
        <f>AW29+AX29</f>
        <v>0</v>
      </c>
      <c r="BD29" s="53">
        <f>H29/(100-BE29)*100</f>
        <v>0</v>
      </c>
      <c r="BE29" s="53">
        <v>0</v>
      </c>
      <c r="BF29" s="53">
        <f>29</f>
        <v>29</v>
      </c>
      <c r="BH29" s="53">
        <f>G29*AO29</f>
        <v>0</v>
      </c>
      <c r="BI29" s="53">
        <f>G29*AP29</f>
        <v>0</v>
      </c>
      <c r="BJ29" s="53">
        <f>G29*H29</f>
        <v>0</v>
      </c>
      <c r="BK29" s="53"/>
      <c r="BL29" s="53"/>
      <c r="BO29" s="53">
        <f>G29*H29</f>
        <v>0</v>
      </c>
      <c r="BW29" s="53">
        <v>21</v>
      </c>
      <c r="BX29" s="3" t="s">
        <v>169</v>
      </c>
    </row>
    <row r="30" spans="1:76" ht="14.4" x14ac:dyDescent="0.3">
      <c r="A30" s="50" t="s">
        <v>10</v>
      </c>
      <c r="B30" s="51" t="s">
        <v>170</v>
      </c>
      <c r="C30" s="51" t="s">
        <v>10</v>
      </c>
      <c r="D30" s="133" t="s">
        <v>171</v>
      </c>
      <c r="E30" s="134"/>
      <c r="F30" s="52" t="s">
        <v>80</v>
      </c>
      <c r="G30" s="52" t="s">
        <v>80</v>
      </c>
      <c r="H30" s="52" t="s">
        <v>80</v>
      </c>
      <c r="I30" s="28">
        <f>I31+I33+I44+I48</f>
        <v>0</v>
      </c>
      <c r="J30" s="36" t="s">
        <v>10</v>
      </c>
      <c r="K30" s="49"/>
    </row>
    <row r="31" spans="1:76" ht="14.4" x14ac:dyDescent="0.3">
      <c r="A31" s="50" t="s">
        <v>10</v>
      </c>
      <c r="B31" s="51" t="s">
        <v>170</v>
      </c>
      <c r="C31" s="51" t="s">
        <v>172</v>
      </c>
      <c r="D31" s="133" t="s">
        <v>173</v>
      </c>
      <c r="E31" s="134"/>
      <c r="F31" s="52" t="s">
        <v>80</v>
      </c>
      <c r="G31" s="52" t="s">
        <v>80</v>
      </c>
      <c r="H31" s="52" t="s">
        <v>80</v>
      </c>
      <c r="I31" s="28">
        <f>SUM(I32:I32)</f>
        <v>0</v>
      </c>
      <c r="J31" s="36" t="s">
        <v>10</v>
      </c>
      <c r="K31" s="49"/>
      <c r="AI31" s="36" t="s">
        <v>170</v>
      </c>
      <c r="AS31" s="28">
        <f>SUM(AJ32:AJ32)</f>
        <v>0</v>
      </c>
      <c r="AT31" s="28">
        <f>SUM(AK32:AK32)</f>
        <v>0</v>
      </c>
      <c r="AU31" s="28">
        <f>SUM(AL32:AL32)</f>
        <v>0</v>
      </c>
    </row>
    <row r="32" spans="1:76" ht="14.4" x14ac:dyDescent="0.3">
      <c r="A32" s="1" t="s">
        <v>174</v>
      </c>
      <c r="B32" s="2" t="s">
        <v>170</v>
      </c>
      <c r="C32" s="2" t="s">
        <v>175</v>
      </c>
      <c r="D32" s="62" t="s">
        <v>176</v>
      </c>
      <c r="E32" s="63"/>
      <c r="F32" s="2" t="s">
        <v>177</v>
      </c>
      <c r="G32" s="53">
        <v>7</v>
      </c>
      <c r="H32" s="53">
        <v>0</v>
      </c>
      <c r="I32" s="53">
        <f>G32*H32</f>
        <v>0</v>
      </c>
      <c r="J32" s="54" t="s">
        <v>141</v>
      </c>
      <c r="K32" s="49"/>
      <c r="Z32" s="53">
        <f>IF(AQ32="5",BJ32,0)</f>
        <v>0</v>
      </c>
      <c r="AB32" s="53">
        <f>IF(AQ32="1",BH32,0)</f>
        <v>0</v>
      </c>
      <c r="AC32" s="53">
        <f>IF(AQ32="1",BI32,0)</f>
        <v>0</v>
      </c>
      <c r="AD32" s="53">
        <f>IF(AQ32="7",BH32,0)</f>
        <v>0</v>
      </c>
      <c r="AE32" s="53">
        <f>IF(AQ32="7",BI32,0)</f>
        <v>0</v>
      </c>
      <c r="AF32" s="53">
        <f>IF(AQ32="2",BH32,0)</f>
        <v>0</v>
      </c>
      <c r="AG32" s="53">
        <f>IF(AQ32="2",BI32,0)</f>
        <v>0</v>
      </c>
      <c r="AH32" s="53">
        <f>IF(AQ32="0",BJ32,0)</f>
        <v>0</v>
      </c>
      <c r="AI32" s="36" t="s">
        <v>170</v>
      </c>
      <c r="AJ32" s="53">
        <f>IF(AN32=0,I32,0)</f>
        <v>0</v>
      </c>
      <c r="AK32" s="53">
        <f>IF(AN32=12,I32,0)</f>
        <v>0</v>
      </c>
      <c r="AL32" s="53">
        <f>IF(AN32=21,I32,0)</f>
        <v>0</v>
      </c>
      <c r="AN32" s="53">
        <v>21</v>
      </c>
      <c r="AO32" s="53">
        <f>H32*0.061702128</f>
        <v>0</v>
      </c>
      <c r="AP32" s="53">
        <f>H32*(1-0.061702128)</f>
        <v>0</v>
      </c>
      <c r="AQ32" s="54" t="s">
        <v>154</v>
      </c>
      <c r="AV32" s="53">
        <f>AW32+AX32</f>
        <v>0</v>
      </c>
      <c r="AW32" s="53">
        <f>G32*AO32</f>
        <v>0</v>
      </c>
      <c r="AX32" s="53">
        <f>G32*AP32</f>
        <v>0</v>
      </c>
      <c r="AY32" s="54" t="s">
        <v>178</v>
      </c>
      <c r="AZ32" s="54" t="s">
        <v>179</v>
      </c>
      <c r="BA32" s="36" t="s">
        <v>180</v>
      </c>
      <c r="BC32" s="53">
        <f>AW32+AX32</f>
        <v>0</v>
      </c>
      <c r="BD32" s="53">
        <f>H32/(100-BE32)*100</f>
        <v>0</v>
      </c>
      <c r="BE32" s="53">
        <v>0</v>
      </c>
      <c r="BF32" s="53">
        <f>32</f>
        <v>32</v>
      </c>
      <c r="BH32" s="53">
        <f>G32*AO32</f>
        <v>0</v>
      </c>
      <c r="BI32" s="53">
        <f>G32*AP32</f>
        <v>0</v>
      </c>
      <c r="BJ32" s="53">
        <f>G32*H32</f>
        <v>0</v>
      </c>
      <c r="BK32" s="53"/>
      <c r="BL32" s="53">
        <v>783</v>
      </c>
      <c r="BW32" s="53">
        <v>21</v>
      </c>
      <c r="BX32" s="3" t="s">
        <v>176</v>
      </c>
    </row>
    <row r="33" spans="1:76" ht="14.4" x14ac:dyDescent="0.3">
      <c r="A33" s="50" t="s">
        <v>10</v>
      </c>
      <c r="B33" s="51" t="s">
        <v>170</v>
      </c>
      <c r="C33" s="51" t="s">
        <v>181</v>
      </c>
      <c r="D33" s="133" t="s">
        <v>182</v>
      </c>
      <c r="E33" s="134"/>
      <c r="F33" s="52" t="s">
        <v>80</v>
      </c>
      <c r="G33" s="52" t="s">
        <v>80</v>
      </c>
      <c r="H33" s="52" t="s">
        <v>80</v>
      </c>
      <c r="I33" s="28">
        <f>SUM(I34:I43)</f>
        <v>0</v>
      </c>
      <c r="J33" s="36" t="s">
        <v>10</v>
      </c>
      <c r="K33" s="49"/>
      <c r="AI33" s="36" t="s">
        <v>170</v>
      </c>
      <c r="AS33" s="28">
        <f>SUM(AJ34:AJ43)</f>
        <v>0</v>
      </c>
      <c r="AT33" s="28">
        <f>SUM(AK34:AK43)</f>
        <v>0</v>
      </c>
      <c r="AU33" s="28">
        <f>SUM(AL34:AL43)</f>
        <v>0</v>
      </c>
    </row>
    <row r="34" spans="1:76" ht="14.4" x14ac:dyDescent="0.3">
      <c r="A34" s="1" t="s">
        <v>183</v>
      </c>
      <c r="B34" s="2" t="s">
        <v>170</v>
      </c>
      <c r="C34" s="2" t="s">
        <v>184</v>
      </c>
      <c r="D34" s="62" t="s">
        <v>185</v>
      </c>
      <c r="E34" s="63"/>
      <c r="F34" s="2" t="s">
        <v>177</v>
      </c>
      <c r="G34" s="53">
        <v>30</v>
      </c>
      <c r="H34" s="53">
        <v>0</v>
      </c>
      <c r="I34" s="53">
        <f t="shared" ref="I34:I40" si="0">G34*H34</f>
        <v>0</v>
      </c>
      <c r="J34" s="54" t="s">
        <v>141</v>
      </c>
      <c r="K34" s="49"/>
      <c r="Z34" s="53">
        <f t="shared" ref="Z34:Z40" si="1">IF(AQ34="5",BJ34,0)</f>
        <v>0</v>
      </c>
      <c r="AB34" s="53">
        <f t="shared" ref="AB34:AB40" si="2">IF(AQ34="1",BH34,0)</f>
        <v>0</v>
      </c>
      <c r="AC34" s="53">
        <f t="shared" ref="AC34:AC40" si="3">IF(AQ34="1",BI34,0)</f>
        <v>0</v>
      </c>
      <c r="AD34" s="53">
        <f t="shared" ref="AD34:AD40" si="4">IF(AQ34="7",BH34,0)</f>
        <v>0</v>
      </c>
      <c r="AE34" s="53">
        <f t="shared" ref="AE34:AE40" si="5">IF(AQ34="7",BI34,0)</f>
        <v>0</v>
      </c>
      <c r="AF34" s="53">
        <f t="shared" ref="AF34:AF40" si="6">IF(AQ34="2",BH34,0)</f>
        <v>0</v>
      </c>
      <c r="AG34" s="53">
        <f t="shared" ref="AG34:AG40" si="7">IF(AQ34="2",BI34,0)</f>
        <v>0</v>
      </c>
      <c r="AH34" s="53">
        <f t="shared" ref="AH34:AH40" si="8">IF(AQ34="0",BJ34,0)</f>
        <v>0</v>
      </c>
      <c r="AI34" s="36" t="s">
        <v>170</v>
      </c>
      <c r="AJ34" s="53">
        <f t="shared" ref="AJ34:AJ40" si="9">IF(AN34=0,I34,0)</f>
        <v>0</v>
      </c>
      <c r="AK34" s="53">
        <f t="shared" ref="AK34:AK40" si="10">IF(AN34=12,I34,0)</f>
        <v>0</v>
      </c>
      <c r="AL34" s="53">
        <f t="shared" ref="AL34:AL40" si="11">IF(AN34=21,I34,0)</f>
        <v>0</v>
      </c>
      <c r="AN34" s="53">
        <v>21</v>
      </c>
      <c r="AO34" s="53">
        <f t="shared" ref="AO34:AO40" si="12">H34*0</f>
        <v>0</v>
      </c>
      <c r="AP34" s="53">
        <f t="shared" ref="AP34:AP40" si="13">H34*(1-0)</f>
        <v>0</v>
      </c>
      <c r="AQ34" s="54" t="s">
        <v>121</v>
      </c>
      <c r="AV34" s="53">
        <f t="shared" ref="AV34:AV40" si="14">AW34+AX34</f>
        <v>0</v>
      </c>
      <c r="AW34" s="53">
        <f t="shared" ref="AW34:AW40" si="15">G34*AO34</f>
        <v>0</v>
      </c>
      <c r="AX34" s="53">
        <f t="shared" ref="AX34:AX40" si="16">G34*AP34</f>
        <v>0</v>
      </c>
      <c r="AY34" s="54" t="s">
        <v>186</v>
      </c>
      <c r="AZ34" s="54" t="s">
        <v>187</v>
      </c>
      <c r="BA34" s="36" t="s">
        <v>180</v>
      </c>
      <c r="BC34" s="53">
        <f t="shared" ref="BC34:BC40" si="17">AW34+AX34</f>
        <v>0</v>
      </c>
      <c r="BD34" s="53">
        <f t="shared" ref="BD34:BD40" si="18">H34/(100-BE34)*100</f>
        <v>0</v>
      </c>
      <c r="BE34" s="53">
        <v>0</v>
      </c>
      <c r="BF34" s="53">
        <f>34</f>
        <v>34</v>
      </c>
      <c r="BH34" s="53">
        <f t="shared" ref="BH34:BH40" si="19">G34*AO34</f>
        <v>0</v>
      </c>
      <c r="BI34" s="53">
        <f t="shared" ref="BI34:BI40" si="20">G34*AP34</f>
        <v>0</v>
      </c>
      <c r="BJ34" s="53">
        <f t="shared" ref="BJ34:BJ40" si="21">G34*H34</f>
        <v>0</v>
      </c>
      <c r="BK34" s="53"/>
      <c r="BL34" s="53">
        <v>96</v>
      </c>
      <c r="BW34" s="53">
        <v>21</v>
      </c>
      <c r="BX34" s="3" t="s">
        <v>185</v>
      </c>
    </row>
    <row r="35" spans="1:76" ht="14.4" x14ac:dyDescent="0.3">
      <c r="A35" s="1" t="s">
        <v>188</v>
      </c>
      <c r="B35" s="2" t="s">
        <v>170</v>
      </c>
      <c r="C35" s="2" t="s">
        <v>189</v>
      </c>
      <c r="D35" s="62" t="s">
        <v>190</v>
      </c>
      <c r="E35" s="63"/>
      <c r="F35" s="2" t="s">
        <v>191</v>
      </c>
      <c r="G35" s="53">
        <v>46.3</v>
      </c>
      <c r="H35" s="53">
        <v>0</v>
      </c>
      <c r="I35" s="53">
        <f t="shared" si="0"/>
        <v>0</v>
      </c>
      <c r="J35" s="54" t="s">
        <v>141</v>
      </c>
      <c r="K35" s="49"/>
      <c r="Z35" s="53">
        <f t="shared" si="1"/>
        <v>0</v>
      </c>
      <c r="AB35" s="53">
        <f t="shared" si="2"/>
        <v>0</v>
      </c>
      <c r="AC35" s="53">
        <f t="shared" si="3"/>
        <v>0</v>
      </c>
      <c r="AD35" s="53">
        <f t="shared" si="4"/>
        <v>0</v>
      </c>
      <c r="AE35" s="53">
        <f t="shared" si="5"/>
        <v>0</v>
      </c>
      <c r="AF35" s="53">
        <f t="shared" si="6"/>
        <v>0</v>
      </c>
      <c r="AG35" s="53">
        <f t="shared" si="7"/>
        <v>0</v>
      </c>
      <c r="AH35" s="53">
        <f t="shared" si="8"/>
        <v>0</v>
      </c>
      <c r="AI35" s="36" t="s">
        <v>170</v>
      </c>
      <c r="AJ35" s="53">
        <f t="shared" si="9"/>
        <v>0</v>
      </c>
      <c r="AK35" s="53">
        <f t="shared" si="10"/>
        <v>0</v>
      </c>
      <c r="AL35" s="53">
        <f t="shared" si="11"/>
        <v>0</v>
      </c>
      <c r="AN35" s="53">
        <v>21</v>
      </c>
      <c r="AO35" s="53">
        <f t="shared" si="12"/>
        <v>0</v>
      </c>
      <c r="AP35" s="53">
        <f t="shared" si="13"/>
        <v>0</v>
      </c>
      <c r="AQ35" s="54" t="s">
        <v>121</v>
      </c>
      <c r="AV35" s="53">
        <f t="shared" si="14"/>
        <v>0</v>
      </c>
      <c r="AW35" s="53">
        <f t="shared" si="15"/>
        <v>0</v>
      </c>
      <c r="AX35" s="53">
        <f t="shared" si="16"/>
        <v>0</v>
      </c>
      <c r="AY35" s="54" t="s">
        <v>186</v>
      </c>
      <c r="AZ35" s="54" t="s">
        <v>187</v>
      </c>
      <c r="BA35" s="36" t="s">
        <v>180</v>
      </c>
      <c r="BC35" s="53">
        <f t="shared" si="17"/>
        <v>0</v>
      </c>
      <c r="BD35" s="53">
        <f t="shared" si="18"/>
        <v>0</v>
      </c>
      <c r="BE35" s="53">
        <v>0</v>
      </c>
      <c r="BF35" s="53">
        <f>35</f>
        <v>35</v>
      </c>
      <c r="BH35" s="53">
        <f t="shared" si="19"/>
        <v>0</v>
      </c>
      <c r="BI35" s="53">
        <f t="shared" si="20"/>
        <v>0</v>
      </c>
      <c r="BJ35" s="53">
        <f t="shared" si="21"/>
        <v>0</v>
      </c>
      <c r="BK35" s="53"/>
      <c r="BL35" s="53">
        <v>96</v>
      </c>
      <c r="BW35" s="53">
        <v>21</v>
      </c>
      <c r="BX35" s="3" t="s">
        <v>190</v>
      </c>
    </row>
    <row r="36" spans="1:76" ht="14.4" x14ac:dyDescent="0.3">
      <c r="A36" s="1" t="s">
        <v>192</v>
      </c>
      <c r="B36" s="2" t="s">
        <v>170</v>
      </c>
      <c r="C36" s="2" t="s">
        <v>193</v>
      </c>
      <c r="D36" s="62" t="s">
        <v>194</v>
      </c>
      <c r="E36" s="63"/>
      <c r="F36" s="2" t="s">
        <v>191</v>
      </c>
      <c r="G36" s="53">
        <v>210</v>
      </c>
      <c r="H36" s="53">
        <v>0</v>
      </c>
      <c r="I36" s="53">
        <f t="shared" si="0"/>
        <v>0</v>
      </c>
      <c r="J36" s="54" t="s">
        <v>141</v>
      </c>
      <c r="K36" s="49"/>
      <c r="Z36" s="53">
        <f t="shared" si="1"/>
        <v>0</v>
      </c>
      <c r="AB36" s="53">
        <f t="shared" si="2"/>
        <v>0</v>
      </c>
      <c r="AC36" s="53">
        <f t="shared" si="3"/>
        <v>0</v>
      </c>
      <c r="AD36" s="53">
        <f t="shared" si="4"/>
        <v>0</v>
      </c>
      <c r="AE36" s="53">
        <f t="shared" si="5"/>
        <v>0</v>
      </c>
      <c r="AF36" s="53">
        <f t="shared" si="6"/>
        <v>0</v>
      </c>
      <c r="AG36" s="53">
        <f t="shared" si="7"/>
        <v>0</v>
      </c>
      <c r="AH36" s="53">
        <f t="shared" si="8"/>
        <v>0</v>
      </c>
      <c r="AI36" s="36" t="s">
        <v>170</v>
      </c>
      <c r="AJ36" s="53">
        <f t="shared" si="9"/>
        <v>0</v>
      </c>
      <c r="AK36" s="53">
        <f t="shared" si="10"/>
        <v>0</v>
      </c>
      <c r="AL36" s="53">
        <f t="shared" si="11"/>
        <v>0</v>
      </c>
      <c r="AN36" s="53">
        <v>21</v>
      </c>
      <c r="AO36" s="53">
        <f t="shared" si="12"/>
        <v>0</v>
      </c>
      <c r="AP36" s="53">
        <f t="shared" si="13"/>
        <v>0</v>
      </c>
      <c r="AQ36" s="54" t="s">
        <v>130</v>
      </c>
      <c r="AV36" s="53">
        <f t="shared" si="14"/>
        <v>0</v>
      </c>
      <c r="AW36" s="53">
        <f t="shared" si="15"/>
        <v>0</v>
      </c>
      <c r="AX36" s="53">
        <f t="shared" si="16"/>
        <v>0</v>
      </c>
      <c r="AY36" s="54" t="s">
        <v>186</v>
      </c>
      <c r="AZ36" s="54" t="s">
        <v>187</v>
      </c>
      <c r="BA36" s="36" t="s">
        <v>180</v>
      </c>
      <c r="BC36" s="53">
        <f t="shared" si="17"/>
        <v>0</v>
      </c>
      <c r="BD36" s="53">
        <f t="shared" si="18"/>
        <v>0</v>
      </c>
      <c r="BE36" s="53">
        <v>0</v>
      </c>
      <c r="BF36" s="53">
        <f>36</f>
        <v>36</v>
      </c>
      <c r="BH36" s="53">
        <f t="shared" si="19"/>
        <v>0</v>
      </c>
      <c r="BI36" s="53">
        <f t="shared" si="20"/>
        <v>0</v>
      </c>
      <c r="BJ36" s="53">
        <f t="shared" si="21"/>
        <v>0</v>
      </c>
      <c r="BK36" s="53"/>
      <c r="BL36" s="53">
        <v>96</v>
      </c>
      <c r="BW36" s="53">
        <v>21</v>
      </c>
      <c r="BX36" s="3" t="s">
        <v>194</v>
      </c>
    </row>
    <row r="37" spans="1:76" ht="14.4" x14ac:dyDescent="0.3">
      <c r="A37" s="1" t="s">
        <v>195</v>
      </c>
      <c r="B37" s="2" t="s">
        <v>170</v>
      </c>
      <c r="C37" s="2" t="s">
        <v>196</v>
      </c>
      <c r="D37" s="62" t="s">
        <v>197</v>
      </c>
      <c r="E37" s="63"/>
      <c r="F37" s="2" t="s">
        <v>198</v>
      </c>
      <c r="G37" s="53">
        <v>41.387500000000003</v>
      </c>
      <c r="H37" s="53">
        <v>0</v>
      </c>
      <c r="I37" s="53">
        <f t="shared" si="0"/>
        <v>0</v>
      </c>
      <c r="J37" s="54" t="s">
        <v>141</v>
      </c>
      <c r="K37" s="49"/>
      <c r="Z37" s="53">
        <f t="shared" si="1"/>
        <v>0</v>
      </c>
      <c r="AB37" s="53">
        <f t="shared" si="2"/>
        <v>0</v>
      </c>
      <c r="AC37" s="53">
        <f t="shared" si="3"/>
        <v>0</v>
      </c>
      <c r="AD37" s="53">
        <f t="shared" si="4"/>
        <v>0</v>
      </c>
      <c r="AE37" s="53">
        <f t="shared" si="5"/>
        <v>0</v>
      </c>
      <c r="AF37" s="53">
        <f t="shared" si="6"/>
        <v>0</v>
      </c>
      <c r="AG37" s="53">
        <f t="shared" si="7"/>
        <v>0</v>
      </c>
      <c r="AH37" s="53">
        <f t="shared" si="8"/>
        <v>0</v>
      </c>
      <c r="AI37" s="36" t="s">
        <v>170</v>
      </c>
      <c r="AJ37" s="53">
        <f t="shared" si="9"/>
        <v>0</v>
      </c>
      <c r="AK37" s="53">
        <f t="shared" si="10"/>
        <v>0</v>
      </c>
      <c r="AL37" s="53">
        <f t="shared" si="11"/>
        <v>0</v>
      </c>
      <c r="AN37" s="53">
        <v>21</v>
      </c>
      <c r="AO37" s="53">
        <f t="shared" si="12"/>
        <v>0</v>
      </c>
      <c r="AP37" s="53">
        <f t="shared" si="13"/>
        <v>0</v>
      </c>
      <c r="AQ37" s="54" t="s">
        <v>121</v>
      </c>
      <c r="AV37" s="53">
        <f t="shared" si="14"/>
        <v>0</v>
      </c>
      <c r="AW37" s="53">
        <f t="shared" si="15"/>
        <v>0</v>
      </c>
      <c r="AX37" s="53">
        <f t="shared" si="16"/>
        <v>0</v>
      </c>
      <c r="AY37" s="54" t="s">
        <v>186</v>
      </c>
      <c r="AZ37" s="54" t="s">
        <v>187</v>
      </c>
      <c r="BA37" s="36" t="s">
        <v>180</v>
      </c>
      <c r="BC37" s="53">
        <f t="shared" si="17"/>
        <v>0</v>
      </c>
      <c r="BD37" s="53">
        <f t="shared" si="18"/>
        <v>0</v>
      </c>
      <c r="BE37" s="53">
        <v>0</v>
      </c>
      <c r="BF37" s="53">
        <f>37</f>
        <v>37</v>
      </c>
      <c r="BH37" s="53">
        <f t="shared" si="19"/>
        <v>0</v>
      </c>
      <c r="BI37" s="53">
        <f t="shared" si="20"/>
        <v>0</v>
      </c>
      <c r="BJ37" s="53">
        <f t="shared" si="21"/>
        <v>0</v>
      </c>
      <c r="BK37" s="53"/>
      <c r="BL37" s="53">
        <v>96</v>
      </c>
      <c r="BW37" s="53">
        <v>21</v>
      </c>
      <c r="BX37" s="3" t="s">
        <v>197</v>
      </c>
    </row>
    <row r="38" spans="1:76" ht="14.4" x14ac:dyDescent="0.3">
      <c r="A38" s="1" t="s">
        <v>199</v>
      </c>
      <c r="B38" s="2" t="s">
        <v>170</v>
      </c>
      <c r="C38" s="2" t="s">
        <v>200</v>
      </c>
      <c r="D38" s="62" t="s">
        <v>201</v>
      </c>
      <c r="E38" s="63"/>
      <c r="F38" s="2" t="s">
        <v>202</v>
      </c>
      <c r="G38" s="53">
        <v>4</v>
      </c>
      <c r="H38" s="53">
        <v>0</v>
      </c>
      <c r="I38" s="53">
        <f t="shared" si="0"/>
        <v>0</v>
      </c>
      <c r="J38" s="54" t="s">
        <v>141</v>
      </c>
      <c r="K38" s="49"/>
      <c r="Z38" s="53">
        <f t="shared" si="1"/>
        <v>0</v>
      </c>
      <c r="AB38" s="53">
        <f t="shared" si="2"/>
        <v>0</v>
      </c>
      <c r="AC38" s="53">
        <f t="shared" si="3"/>
        <v>0</v>
      </c>
      <c r="AD38" s="53">
        <f t="shared" si="4"/>
        <v>0</v>
      </c>
      <c r="AE38" s="53">
        <f t="shared" si="5"/>
        <v>0</v>
      </c>
      <c r="AF38" s="53">
        <f t="shared" si="6"/>
        <v>0</v>
      </c>
      <c r="AG38" s="53">
        <f t="shared" si="7"/>
        <v>0</v>
      </c>
      <c r="AH38" s="53">
        <f t="shared" si="8"/>
        <v>0</v>
      </c>
      <c r="AI38" s="36" t="s">
        <v>170</v>
      </c>
      <c r="AJ38" s="53">
        <f t="shared" si="9"/>
        <v>0</v>
      </c>
      <c r="AK38" s="53">
        <f t="shared" si="10"/>
        <v>0</v>
      </c>
      <c r="AL38" s="53">
        <f t="shared" si="11"/>
        <v>0</v>
      </c>
      <c r="AN38" s="53">
        <v>21</v>
      </c>
      <c r="AO38" s="53">
        <f t="shared" si="12"/>
        <v>0</v>
      </c>
      <c r="AP38" s="53">
        <f t="shared" si="13"/>
        <v>0</v>
      </c>
      <c r="AQ38" s="54" t="s">
        <v>121</v>
      </c>
      <c r="AV38" s="53">
        <f t="shared" si="14"/>
        <v>0</v>
      </c>
      <c r="AW38" s="53">
        <f t="shared" si="15"/>
        <v>0</v>
      </c>
      <c r="AX38" s="53">
        <f t="shared" si="16"/>
        <v>0</v>
      </c>
      <c r="AY38" s="54" t="s">
        <v>186</v>
      </c>
      <c r="AZ38" s="54" t="s">
        <v>187</v>
      </c>
      <c r="BA38" s="36" t="s">
        <v>180</v>
      </c>
      <c r="BC38" s="53">
        <f t="shared" si="17"/>
        <v>0</v>
      </c>
      <c r="BD38" s="53">
        <f t="shared" si="18"/>
        <v>0</v>
      </c>
      <c r="BE38" s="53">
        <v>0</v>
      </c>
      <c r="BF38" s="53">
        <f>38</f>
        <v>38</v>
      </c>
      <c r="BH38" s="53">
        <f t="shared" si="19"/>
        <v>0</v>
      </c>
      <c r="BI38" s="53">
        <f t="shared" si="20"/>
        <v>0</v>
      </c>
      <c r="BJ38" s="53">
        <f t="shared" si="21"/>
        <v>0</v>
      </c>
      <c r="BK38" s="53"/>
      <c r="BL38" s="53">
        <v>96</v>
      </c>
      <c r="BW38" s="53">
        <v>21</v>
      </c>
      <c r="BX38" s="3" t="s">
        <v>201</v>
      </c>
    </row>
    <row r="39" spans="1:76" ht="14.4" x14ac:dyDescent="0.3">
      <c r="A39" s="1" t="s">
        <v>203</v>
      </c>
      <c r="B39" s="2" t="s">
        <v>170</v>
      </c>
      <c r="C39" s="2" t="s">
        <v>204</v>
      </c>
      <c r="D39" s="62" t="s">
        <v>205</v>
      </c>
      <c r="E39" s="63"/>
      <c r="F39" s="2" t="s">
        <v>177</v>
      </c>
      <c r="G39" s="53">
        <v>591.25</v>
      </c>
      <c r="H39" s="53">
        <v>0</v>
      </c>
      <c r="I39" s="53">
        <f t="shared" si="0"/>
        <v>0</v>
      </c>
      <c r="J39" s="54" t="s">
        <v>141</v>
      </c>
      <c r="K39" s="49"/>
      <c r="Z39" s="53">
        <f t="shared" si="1"/>
        <v>0</v>
      </c>
      <c r="AB39" s="53">
        <f t="shared" si="2"/>
        <v>0</v>
      </c>
      <c r="AC39" s="53">
        <f t="shared" si="3"/>
        <v>0</v>
      </c>
      <c r="AD39" s="53">
        <f t="shared" si="4"/>
        <v>0</v>
      </c>
      <c r="AE39" s="53">
        <f t="shared" si="5"/>
        <v>0</v>
      </c>
      <c r="AF39" s="53">
        <f t="shared" si="6"/>
        <v>0</v>
      </c>
      <c r="AG39" s="53">
        <f t="shared" si="7"/>
        <v>0</v>
      </c>
      <c r="AH39" s="53">
        <f t="shared" si="8"/>
        <v>0</v>
      </c>
      <c r="AI39" s="36" t="s">
        <v>170</v>
      </c>
      <c r="AJ39" s="53">
        <f t="shared" si="9"/>
        <v>0</v>
      </c>
      <c r="AK39" s="53">
        <f t="shared" si="10"/>
        <v>0</v>
      </c>
      <c r="AL39" s="53">
        <f t="shared" si="11"/>
        <v>0</v>
      </c>
      <c r="AN39" s="53">
        <v>21</v>
      </c>
      <c r="AO39" s="53">
        <f t="shared" si="12"/>
        <v>0</v>
      </c>
      <c r="AP39" s="53">
        <f t="shared" si="13"/>
        <v>0</v>
      </c>
      <c r="AQ39" s="54" t="s">
        <v>121</v>
      </c>
      <c r="AV39" s="53">
        <f t="shared" si="14"/>
        <v>0</v>
      </c>
      <c r="AW39" s="53">
        <f t="shared" si="15"/>
        <v>0</v>
      </c>
      <c r="AX39" s="53">
        <f t="shared" si="16"/>
        <v>0</v>
      </c>
      <c r="AY39" s="54" t="s">
        <v>186</v>
      </c>
      <c r="AZ39" s="54" t="s">
        <v>187</v>
      </c>
      <c r="BA39" s="36" t="s">
        <v>180</v>
      </c>
      <c r="BC39" s="53">
        <f t="shared" si="17"/>
        <v>0</v>
      </c>
      <c r="BD39" s="53">
        <f t="shared" si="18"/>
        <v>0</v>
      </c>
      <c r="BE39" s="53">
        <v>0</v>
      </c>
      <c r="BF39" s="53">
        <f>39</f>
        <v>39</v>
      </c>
      <c r="BH39" s="53">
        <f t="shared" si="19"/>
        <v>0</v>
      </c>
      <c r="BI39" s="53">
        <f t="shared" si="20"/>
        <v>0</v>
      </c>
      <c r="BJ39" s="53">
        <f t="shared" si="21"/>
        <v>0</v>
      </c>
      <c r="BK39" s="53"/>
      <c r="BL39" s="53">
        <v>96</v>
      </c>
      <c r="BW39" s="53">
        <v>21</v>
      </c>
      <c r="BX39" s="3" t="s">
        <v>205</v>
      </c>
    </row>
    <row r="40" spans="1:76" ht="14.4" x14ac:dyDescent="0.3">
      <c r="A40" s="1" t="s">
        <v>206</v>
      </c>
      <c r="B40" s="2" t="s">
        <v>170</v>
      </c>
      <c r="C40" s="2" t="s">
        <v>207</v>
      </c>
      <c r="D40" s="62" t="s">
        <v>208</v>
      </c>
      <c r="E40" s="63"/>
      <c r="F40" s="2" t="s">
        <v>177</v>
      </c>
      <c r="G40" s="53">
        <v>591.25</v>
      </c>
      <c r="H40" s="53">
        <v>0</v>
      </c>
      <c r="I40" s="53">
        <f t="shared" si="0"/>
        <v>0</v>
      </c>
      <c r="J40" s="54" t="s">
        <v>141</v>
      </c>
      <c r="K40" s="49"/>
      <c r="Z40" s="53">
        <f t="shared" si="1"/>
        <v>0</v>
      </c>
      <c r="AB40" s="53">
        <f t="shared" si="2"/>
        <v>0</v>
      </c>
      <c r="AC40" s="53">
        <f t="shared" si="3"/>
        <v>0</v>
      </c>
      <c r="AD40" s="53">
        <f t="shared" si="4"/>
        <v>0</v>
      </c>
      <c r="AE40" s="53">
        <f t="shared" si="5"/>
        <v>0</v>
      </c>
      <c r="AF40" s="53">
        <f t="shared" si="6"/>
        <v>0</v>
      </c>
      <c r="AG40" s="53">
        <f t="shared" si="7"/>
        <v>0</v>
      </c>
      <c r="AH40" s="53">
        <f t="shared" si="8"/>
        <v>0</v>
      </c>
      <c r="AI40" s="36" t="s">
        <v>170</v>
      </c>
      <c r="AJ40" s="53">
        <f t="shared" si="9"/>
        <v>0</v>
      </c>
      <c r="AK40" s="53">
        <f t="shared" si="10"/>
        <v>0</v>
      </c>
      <c r="AL40" s="53">
        <f t="shared" si="11"/>
        <v>0</v>
      </c>
      <c r="AN40" s="53">
        <v>21</v>
      </c>
      <c r="AO40" s="53">
        <f t="shared" si="12"/>
        <v>0</v>
      </c>
      <c r="AP40" s="53">
        <f t="shared" si="13"/>
        <v>0</v>
      </c>
      <c r="AQ40" s="54" t="s">
        <v>121</v>
      </c>
      <c r="AV40" s="53">
        <f t="shared" si="14"/>
        <v>0</v>
      </c>
      <c r="AW40" s="53">
        <f t="shared" si="15"/>
        <v>0</v>
      </c>
      <c r="AX40" s="53">
        <f t="shared" si="16"/>
        <v>0</v>
      </c>
      <c r="AY40" s="54" t="s">
        <v>186</v>
      </c>
      <c r="AZ40" s="54" t="s">
        <v>187</v>
      </c>
      <c r="BA40" s="36" t="s">
        <v>180</v>
      </c>
      <c r="BC40" s="53">
        <f t="shared" si="17"/>
        <v>0</v>
      </c>
      <c r="BD40" s="53">
        <f t="shared" si="18"/>
        <v>0</v>
      </c>
      <c r="BE40" s="53">
        <v>0</v>
      </c>
      <c r="BF40" s="53">
        <f>40</f>
        <v>40</v>
      </c>
      <c r="BH40" s="53">
        <f t="shared" si="19"/>
        <v>0</v>
      </c>
      <c r="BI40" s="53">
        <f t="shared" si="20"/>
        <v>0</v>
      </c>
      <c r="BJ40" s="53">
        <f t="shared" si="21"/>
        <v>0</v>
      </c>
      <c r="BK40" s="53"/>
      <c r="BL40" s="53">
        <v>96</v>
      </c>
      <c r="BW40" s="53">
        <v>21</v>
      </c>
      <c r="BX40" s="3" t="s">
        <v>208</v>
      </c>
    </row>
    <row r="41" spans="1:76" ht="13.5" customHeight="1" x14ac:dyDescent="0.3">
      <c r="A41" s="55"/>
      <c r="C41" s="56" t="s">
        <v>209</v>
      </c>
      <c r="D41" s="136" t="s">
        <v>210</v>
      </c>
      <c r="E41" s="137"/>
      <c r="F41" s="137"/>
      <c r="G41" s="137"/>
      <c r="H41" s="137"/>
      <c r="I41" s="137"/>
      <c r="J41" s="137"/>
      <c r="K41" s="138"/>
    </row>
    <row r="42" spans="1:76" ht="14.4" x14ac:dyDescent="0.3">
      <c r="A42" s="1" t="s">
        <v>211</v>
      </c>
      <c r="B42" s="2" t="s">
        <v>170</v>
      </c>
      <c r="C42" s="2" t="s">
        <v>212</v>
      </c>
      <c r="D42" s="62" t="s">
        <v>213</v>
      </c>
      <c r="E42" s="63"/>
      <c r="F42" s="2" t="s">
        <v>214</v>
      </c>
      <c r="G42" s="53">
        <v>69.623329999999996</v>
      </c>
      <c r="H42" s="53">
        <v>0</v>
      </c>
      <c r="I42" s="53">
        <f>G42*H42</f>
        <v>0</v>
      </c>
      <c r="J42" s="54" t="s">
        <v>141</v>
      </c>
      <c r="K42" s="49"/>
      <c r="Z42" s="53">
        <f>IF(AQ42="5",BJ42,0)</f>
        <v>0</v>
      </c>
      <c r="AB42" s="53">
        <f>IF(AQ42="1",BH42,0)</f>
        <v>0</v>
      </c>
      <c r="AC42" s="53">
        <f>IF(AQ42="1",BI42,0)</f>
        <v>0</v>
      </c>
      <c r="AD42" s="53">
        <f>IF(AQ42="7",BH42,0)</f>
        <v>0</v>
      </c>
      <c r="AE42" s="53">
        <f>IF(AQ42="7",BI42,0)</f>
        <v>0</v>
      </c>
      <c r="AF42" s="53">
        <f>IF(AQ42="2",BH42,0)</f>
        <v>0</v>
      </c>
      <c r="AG42" s="53">
        <f>IF(AQ42="2",BI42,0)</f>
        <v>0</v>
      </c>
      <c r="AH42" s="53">
        <f>IF(AQ42="0",BJ42,0)</f>
        <v>0</v>
      </c>
      <c r="AI42" s="36" t="s">
        <v>170</v>
      </c>
      <c r="AJ42" s="53">
        <f>IF(AN42=0,I42,0)</f>
        <v>0</v>
      </c>
      <c r="AK42" s="53">
        <f>IF(AN42=12,I42,0)</f>
        <v>0</v>
      </c>
      <c r="AL42" s="53">
        <f>IF(AN42=21,I42,0)</f>
        <v>0</v>
      </c>
      <c r="AN42" s="53">
        <v>21</v>
      </c>
      <c r="AO42" s="53">
        <f>H42*0</f>
        <v>0</v>
      </c>
      <c r="AP42" s="53">
        <f>H42*(1-0)</f>
        <v>0</v>
      </c>
      <c r="AQ42" s="54" t="s">
        <v>147</v>
      </c>
      <c r="AV42" s="53">
        <f>AW42+AX42</f>
        <v>0</v>
      </c>
      <c r="AW42" s="53">
        <f>G42*AO42</f>
        <v>0</v>
      </c>
      <c r="AX42" s="53">
        <f>G42*AP42</f>
        <v>0</v>
      </c>
      <c r="AY42" s="54" t="s">
        <v>186</v>
      </c>
      <c r="AZ42" s="54" t="s">
        <v>187</v>
      </c>
      <c r="BA42" s="36" t="s">
        <v>180</v>
      </c>
      <c r="BC42" s="53">
        <f>AW42+AX42</f>
        <v>0</v>
      </c>
      <c r="BD42" s="53">
        <f>H42/(100-BE42)*100</f>
        <v>0</v>
      </c>
      <c r="BE42" s="53">
        <v>0</v>
      </c>
      <c r="BF42" s="53">
        <f>42</f>
        <v>42</v>
      </c>
      <c r="BH42" s="53">
        <f>G42*AO42</f>
        <v>0</v>
      </c>
      <c r="BI42" s="53">
        <f>G42*AP42</f>
        <v>0</v>
      </c>
      <c r="BJ42" s="53">
        <f>G42*H42</f>
        <v>0</v>
      </c>
      <c r="BK42" s="53"/>
      <c r="BL42" s="53">
        <v>96</v>
      </c>
      <c r="BW42" s="53">
        <v>21</v>
      </c>
      <c r="BX42" s="3" t="s">
        <v>213</v>
      </c>
    </row>
    <row r="43" spans="1:76" ht="14.4" x14ac:dyDescent="0.3">
      <c r="A43" s="1" t="s">
        <v>215</v>
      </c>
      <c r="B43" s="2" t="s">
        <v>170</v>
      </c>
      <c r="C43" s="2" t="s">
        <v>216</v>
      </c>
      <c r="D43" s="62" t="s">
        <v>217</v>
      </c>
      <c r="E43" s="63"/>
      <c r="F43" s="2" t="s">
        <v>214</v>
      </c>
      <c r="G43" s="53">
        <v>4.1399999999999997</v>
      </c>
      <c r="H43" s="53">
        <v>0</v>
      </c>
      <c r="I43" s="53">
        <f>G43*H43</f>
        <v>0</v>
      </c>
      <c r="J43" s="54" t="s">
        <v>141</v>
      </c>
      <c r="K43" s="49"/>
      <c r="Z43" s="53">
        <f>IF(AQ43="5",BJ43,0)</f>
        <v>0</v>
      </c>
      <c r="AB43" s="53">
        <f>IF(AQ43="1",BH43,0)</f>
        <v>0</v>
      </c>
      <c r="AC43" s="53">
        <f>IF(AQ43="1",BI43,0)</f>
        <v>0</v>
      </c>
      <c r="AD43" s="53">
        <f>IF(AQ43="7",BH43,0)</f>
        <v>0</v>
      </c>
      <c r="AE43" s="53">
        <f>IF(AQ43="7",BI43,0)</f>
        <v>0</v>
      </c>
      <c r="AF43" s="53">
        <f>IF(AQ43="2",BH43,0)</f>
        <v>0</v>
      </c>
      <c r="AG43" s="53">
        <f>IF(AQ43="2",BI43,0)</f>
        <v>0</v>
      </c>
      <c r="AH43" s="53">
        <f>IF(AQ43="0",BJ43,0)</f>
        <v>0</v>
      </c>
      <c r="AI43" s="36" t="s">
        <v>170</v>
      </c>
      <c r="AJ43" s="53">
        <f>IF(AN43=0,I43,0)</f>
        <v>0</v>
      </c>
      <c r="AK43" s="53">
        <f>IF(AN43=12,I43,0)</f>
        <v>0</v>
      </c>
      <c r="AL43" s="53">
        <f>IF(AN43=21,I43,0)</f>
        <v>0</v>
      </c>
      <c r="AN43" s="53">
        <v>21</v>
      </c>
      <c r="AO43" s="53">
        <f>H43*0</f>
        <v>0</v>
      </c>
      <c r="AP43" s="53">
        <f>H43*(1-0)</f>
        <v>0</v>
      </c>
      <c r="AQ43" s="54" t="s">
        <v>147</v>
      </c>
      <c r="AV43" s="53">
        <f>AW43+AX43</f>
        <v>0</v>
      </c>
      <c r="AW43" s="53">
        <f>G43*AO43</f>
        <v>0</v>
      </c>
      <c r="AX43" s="53">
        <f>G43*AP43</f>
        <v>0</v>
      </c>
      <c r="AY43" s="54" t="s">
        <v>186</v>
      </c>
      <c r="AZ43" s="54" t="s">
        <v>187</v>
      </c>
      <c r="BA43" s="36" t="s">
        <v>180</v>
      </c>
      <c r="BC43" s="53">
        <f>AW43+AX43</f>
        <v>0</v>
      </c>
      <c r="BD43" s="53">
        <f>H43/(100-BE43)*100</f>
        <v>0</v>
      </c>
      <c r="BE43" s="53">
        <v>0</v>
      </c>
      <c r="BF43" s="53">
        <f>43</f>
        <v>43</v>
      </c>
      <c r="BH43" s="53">
        <f>G43*AO43</f>
        <v>0</v>
      </c>
      <c r="BI43" s="53">
        <f>G43*AP43</f>
        <v>0</v>
      </c>
      <c r="BJ43" s="53">
        <f>G43*H43</f>
        <v>0</v>
      </c>
      <c r="BK43" s="53"/>
      <c r="BL43" s="53">
        <v>96</v>
      </c>
      <c r="BW43" s="53">
        <v>21</v>
      </c>
      <c r="BX43" s="3" t="s">
        <v>217</v>
      </c>
    </row>
    <row r="44" spans="1:76" ht="14.4" x14ac:dyDescent="0.3">
      <c r="A44" s="50" t="s">
        <v>10</v>
      </c>
      <c r="B44" s="51" t="s">
        <v>170</v>
      </c>
      <c r="C44" s="51" t="s">
        <v>218</v>
      </c>
      <c r="D44" s="133" t="s">
        <v>219</v>
      </c>
      <c r="E44" s="134"/>
      <c r="F44" s="52" t="s">
        <v>80</v>
      </c>
      <c r="G44" s="52" t="s">
        <v>80</v>
      </c>
      <c r="H44" s="52" t="s">
        <v>80</v>
      </c>
      <c r="I44" s="28">
        <f>SUM(I45:I47)</f>
        <v>0</v>
      </c>
      <c r="J44" s="36" t="s">
        <v>10</v>
      </c>
      <c r="K44" s="49"/>
      <c r="AI44" s="36" t="s">
        <v>170</v>
      </c>
      <c r="AS44" s="28">
        <f>SUM(AJ45:AJ47)</f>
        <v>0</v>
      </c>
      <c r="AT44" s="28">
        <f>SUM(AK45:AK47)</f>
        <v>0</v>
      </c>
      <c r="AU44" s="28">
        <f>SUM(AL45:AL47)</f>
        <v>0</v>
      </c>
    </row>
    <row r="45" spans="1:76" ht="14.4" x14ac:dyDescent="0.3">
      <c r="A45" s="1" t="s">
        <v>220</v>
      </c>
      <c r="B45" s="2" t="s">
        <v>170</v>
      </c>
      <c r="C45" s="2" t="s">
        <v>221</v>
      </c>
      <c r="D45" s="62" t="s">
        <v>222</v>
      </c>
      <c r="E45" s="63"/>
      <c r="F45" s="2" t="s">
        <v>223</v>
      </c>
      <c r="G45" s="53">
        <v>1080</v>
      </c>
      <c r="H45" s="53">
        <v>0</v>
      </c>
      <c r="I45" s="53">
        <f>G45*H45</f>
        <v>0</v>
      </c>
      <c r="J45" s="54" t="s">
        <v>141</v>
      </c>
      <c r="K45" s="49"/>
      <c r="Z45" s="53">
        <f>IF(AQ45="5",BJ45,0)</f>
        <v>0</v>
      </c>
      <c r="AB45" s="53">
        <f>IF(AQ45="1",BH45,0)</f>
        <v>0</v>
      </c>
      <c r="AC45" s="53">
        <f>IF(AQ45="1",BI45,0)</f>
        <v>0</v>
      </c>
      <c r="AD45" s="53">
        <f>IF(AQ45="7",BH45,0)</f>
        <v>0</v>
      </c>
      <c r="AE45" s="53">
        <f>IF(AQ45="7",BI45,0)</f>
        <v>0</v>
      </c>
      <c r="AF45" s="53">
        <f>IF(AQ45="2",BH45,0)</f>
        <v>0</v>
      </c>
      <c r="AG45" s="53">
        <f>IF(AQ45="2",BI45,0)</f>
        <v>0</v>
      </c>
      <c r="AH45" s="53">
        <f>IF(AQ45="0",BJ45,0)</f>
        <v>0</v>
      </c>
      <c r="AI45" s="36" t="s">
        <v>170</v>
      </c>
      <c r="AJ45" s="53">
        <f>IF(AN45=0,I45,0)</f>
        <v>0</v>
      </c>
      <c r="AK45" s="53">
        <f>IF(AN45=12,I45,0)</f>
        <v>0</v>
      </c>
      <c r="AL45" s="53">
        <f>IF(AN45=21,I45,0)</f>
        <v>0</v>
      </c>
      <c r="AN45" s="53">
        <v>21</v>
      </c>
      <c r="AO45" s="53">
        <f>H45*0</f>
        <v>0</v>
      </c>
      <c r="AP45" s="53">
        <f>H45*(1-0)</f>
        <v>0</v>
      </c>
      <c r="AQ45" s="54" t="s">
        <v>121</v>
      </c>
      <c r="AV45" s="53">
        <f>AW45+AX45</f>
        <v>0</v>
      </c>
      <c r="AW45" s="53">
        <f>G45*AO45</f>
        <v>0</v>
      </c>
      <c r="AX45" s="53">
        <f>G45*AP45</f>
        <v>0</v>
      </c>
      <c r="AY45" s="54" t="s">
        <v>224</v>
      </c>
      <c r="AZ45" s="54" t="s">
        <v>187</v>
      </c>
      <c r="BA45" s="36" t="s">
        <v>180</v>
      </c>
      <c r="BC45" s="53">
        <f>AW45+AX45</f>
        <v>0</v>
      </c>
      <c r="BD45" s="53">
        <f>H45/(100-BE45)*100</f>
        <v>0</v>
      </c>
      <c r="BE45" s="53">
        <v>0</v>
      </c>
      <c r="BF45" s="53">
        <f>45</f>
        <v>45</v>
      </c>
      <c r="BH45" s="53">
        <f>G45*AO45</f>
        <v>0</v>
      </c>
      <c r="BI45" s="53">
        <f>G45*AP45</f>
        <v>0</v>
      </c>
      <c r="BJ45" s="53">
        <f>G45*H45</f>
        <v>0</v>
      </c>
      <c r="BK45" s="53"/>
      <c r="BL45" s="53">
        <v>97</v>
      </c>
      <c r="BW45" s="53">
        <v>21</v>
      </c>
      <c r="BX45" s="3" t="s">
        <v>222</v>
      </c>
    </row>
    <row r="46" spans="1:76" ht="14.4" x14ac:dyDescent="0.3">
      <c r="A46" s="1" t="s">
        <v>225</v>
      </c>
      <c r="B46" s="2" t="s">
        <v>170</v>
      </c>
      <c r="C46" s="2" t="s">
        <v>226</v>
      </c>
      <c r="D46" s="62" t="s">
        <v>227</v>
      </c>
      <c r="E46" s="63"/>
      <c r="F46" s="2" t="s">
        <v>202</v>
      </c>
      <c r="G46" s="53">
        <v>1</v>
      </c>
      <c r="H46" s="53">
        <v>0</v>
      </c>
      <c r="I46" s="53">
        <f>G46*H46</f>
        <v>0</v>
      </c>
      <c r="J46" s="54" t="s">
        <v>141</v>
      </c>
      <c r="K46" s="49"/>
      <c r="Z46" s="53">
        <f>IF(AQ46="5",BJ46,0)</f>
        <v>0</v>
      </c>
      <c r="AB46" s="53">
        <f>IF(AQ46="1",BH46,0)</f>
        <v>0</v>
      </c>
      <c r="AC46" s="53">
        <f>IF(AQ46="1",BI46,0)</f>
        <v>0</v>
      </c>
      <c r="AD46" s="53">
        <f>IF(AQ46="7",BH46,0)</f>
        <v>0</v>
      </c>
      <c r="AE46" s="53">
        <f>IF(AQ46="7",BI46,0)</f>
        <v>0</v>
      </c>
      <c r="AF46" s="53">
        <f>IF(AQ46="2",BH46,0)</f>
        <v>0</v>
      </c>
      <c r="AG46" s="53">
        <f>IF(AQ46="2",BI46,0)</f>
        <v>0</v>
      </c>
      <c r="AH46" s="53">
        <f>IF(AQ46="0",BJ46,0)</f>
        <v>0</v>
      </c>
      <c r="AI46" s="36" t="s">
        <v>170</v>
      </c>
      <c r="AJ46" s="53">
        <f>IF(AN46=0,I46,0)</f>
        <v>0</v>
      </c>
      <c r="AK46" s="53">
        <f>IF(AN46=12,I46,0)</f>
        <v>0</v>
      </c>
      <c r="AL46" s="53">
        <f>IF(AN46=21,I46,0)</f>
        <v>0</v>
      </c>
      <c r="AN46" s="53">
        <v>21</v>
      </c>
      <c r="AO46" s="53">
        <f>H46*0</f>
        <v>0</v>
      </c>
      <c r="AP46" s="53">
        <f>H46*(1-0)</f>
        <v>0</v>
      </c>
      <c r="AQ46" s="54" t="s">
        <v>121</v>
      </c>
      <c r="AV46" s="53">
        <f>AW46+AX46</f>
        <v>0</v>
      </c>
      <c r="AW46" s="53">
        <f>G46*AO46</f>
        <v>0</v>
      </c>
      <c r="AX46" s="53">
        <f>G46*AP46</f>
        <v>0</v>
      </c>
      <c r="AY46" s="54" t="s">
        <v>224</v>
      </c>
      <c r="AZ46" s="54" t="s">
        <v>187</v>
      </c>
      <c r="BA46" s="36" t="s">
        <v>180</v>
      </c>
      <c r="BC46" s="53">
        <f>AW46+AX46</f>
        <v>0</v>
      </c>
      <c r="BD46" s="53">
        <f>H46/(100-BE46)*100</f>
        <v>0</v>
      </c>
      <c r="BE46" s="53">
        <v>0</v>
      </c>
      <c r="BF46" s="53">
        <f>46</f>
        <v>46</v>
      </c>
      <c r="BH46" s="53">
        <f>G46*AO46</f>
        <v>0</v>
      </c>
      <c r="BI46" s="53">
        <f>G46*AP46</f>
        <v>0</v>
      </c>
      <c r="BJ46" s="53">
        <f>G46*H46</f>
        <v>0</v>
      </c>
      <c r="BK46" s="53"/>
      <c r="BL46" s="53">
        <v>97</v>
      </c>
      <c r="BW46" s="53">
        <v>21</v>
      </c>
      <c r="BX46" s="3" t="s">
        <v>227</v>
      </c>
    </row>
    <row r="47" spans="1:76" ht="14.4" x14ac:dyDescent="0.3">
      <c r="A47" s="1" t="s">
        <v>228</v>
      </c>
      <c r="B47" s="2" t="s">
        <v>170</v>
      </c>
      <c r="C47" s="2" t="s">
        <v>229</v>
      </c>
      <c r="D47" s="62" t="s">
        <v>230</v>
      </c>
      <c r="E47" s="63"/>
      <c r="F47" s="2" t="s">
        <v>231</v>
      </c>
      <c r="G47" s="53">
        <v>4</v>
      </c>
      <c r="H47" s="53">
        <v>0</v>
      </c>
      <c r="I47" s="53">
        <f>G47*H47</f>
        <v>0</v>
      </c>
      <c r="J47" s="54" t="s">
        <v>141</v>
      </c>
      <c r="K47" s="49"/>
      <c r="Z47" s="53">
        <f>IF(AQ47="5",BJ47,0)</f>
        <v>0</v>
      </c>
      <c r="AB47" s="53">
        <f>IF(AQ47="1",BH47,0)</f>
        <v>0</v>
      </c>
      <c r="AC47" s="53">
        <f>IF(AQ47="1",BI47,0)</f>
        <v>0</v>
      </c>
      <c r="AD47" s="53">
        <f>IF(AQ47="7",BH47,0)</f>
        <v>0</v>
      </c>
      <c r="AE47" s="53">
        <f>IF(AQ47="7",BI47,0)</f>
        <v>0</v>
      </c>
      <c r="AF47" s="53">
        <f>IF(AQ47="2",BH47,0)</f>
        <v>0</v>
      </c>
      <c r="AG47" s="53">
        <f>IF(AQ47="2",BI47,0)</f>
        <v>0</v>
      </c>
      <c r="AH47" s="53">
        <f>IF(AQ47="0",BJ47,0)</f>
        <v>0</v>
      </c>
      <c r="AI47" s="36" t="s">
        <v>170</v>
      </c>
      <c r="AJ47" s="53">
        <f>IF(AN47=0,I47,0)</f>
        <v>0</v>
      </c>
      <c r="AK47" s="53">
        <f>IF(AN47=12,I47,0)</f>
        <v>0</v>
      </c>
      <c r="AL47" s="53">
        <f>IF(AN47=21,I47,0)</f>
        <v>0</v>
      </c>
      <c r="AN47" s="53">
        <v>21</v>
      </c>
      <c r="AO47" s="53">
        <f>H47*0</f>
        <v>0</v>
      </c>
      <c r="AP47" s="53">
        <f>H47*(1-0)</f>
        <v>0</v>
      </c>
      <c r="AQ47" s="54" t="s">
        <v>121</v>
      </c>
      <c r="AV47" s="53">
        <f>AW47+AX47</f>
        <v>0</v>
      </c>
      <c r="AW47" s="53">
        <f>G47*AO47</f>
        <v>0</v>
      </c>
      <c r="AX47" s="53">
        <f>G47*AP47</f>
        <v>0</v>
      </c>
      <c r="AY47" s="54" t="s">
        <v>224</v>
      </c>
      <c r="AZ47" s="54" t="s">
        <v>187</v>
      </c>
      <c r="BA47" s="36" t="s">
        <v>180</v>
      </c>
      <c r="BC47" s="53">
        <f>AW47+AX47</f>
        <v>0</v>
      </c>
      <c r="BD47" s="53">
        <f>H47/(100-BE47)*100</f>
        <v>0</v>
      </c>
      <c r="BE47" s="53">
        <v>0</v>
      </c>
      <c r="BF47" s="53">
        <f>47</f>
        <v>47</v>
      </c>
      <c r="BH47" s="53">
        <f>G47*AO47</f>
        <v>0</v>
      </c>
      <c r="BI47" s="53">
        <f>G47*AP47</f>
        <v>0</v>
      </c>
      <c r="BJ47" s="53">
        <f>G47*H47</f>
        <v>0</v>
      </c>
      <c r="BK47" s="53"/>
      <c r="BL47" s="53">
        <v>97</v>
      </c>
      <c r="BW47" s="53">
        <v>21</v>
      </c>
      <c r="BX47" s="3" t="s">
        <v>230</v>
      </c>
    </row>
    <row r="48" spans="1:76" ht="14.4" x14ac:dyDescent="0.3">
      <c r="A48" s="50" t="s">
        <v>10</v>
      </c>
      <c r="B48" s="51" t="s">
        <v>170</v>
      </c>
      <c r="C48" s="51" t="s">
        <v>232</v>
      </c>
      <c r="D48" s="133" t="s">
        <v>233</v>
      </c>
      <c r="E48" s="134"/>
      <c r="F48" s="52" t="s">
        <v>80</v>
      </c>
      <c r="G48" s="52" t="s">
        <v>80</v>
      </c>
      <c r="H48" s="52" t="s">
        <v>80</v>
      </c>
      <c r="I48" s="28">
        <f>SUM(I49:I50)</f>
        <v>0</v>
      </c>
      <c r="J48" s="36" t="s">
        <v>10</v>
      </c>
      <c r="K48" s="49"/>
      <c r="AI48" s="36" t="s">
        <v>170</v>
      </c>
      <c r="AS48" s="28">
        <f>SUM(AJ49:AJ50)</f>
        <v>0</v>
      </c>
      <c r="AT48" s="28">
        <f>SUM(AK49:AK50)</f>
        <v>0</v>
      </c>
      <c r="AU48" s="28">
        <f>SUM(AL49:AL50)</f>
        <v>0</v>
      </c>
    </row>
    <row r="49" spans="1:76" ht="14.4" x14ac:dyDescent="0.3">
      <c r="A49" s="1" t="s">
        <v>234</v>
      </c>
      <c r="B49" s="2" t="s">
        <v>170</v>
      </c>
      <c r="C49" s="2" t="s">
        <v>235</v>
      </c>
      <c r="D49" s="62" t="s">
        <v>236</v>
      </c>
      <c r="E49" s="63"/>
      <c r="F49" s="2" t="s">
        <v>214</v>
      </c>
      <c r="G49" s="53">
        <v>85.6</v>
      </c>
      <c r="H49" s="53">
        <v>0</v>
      </c>
      <c r="I49" s="53">
        <f>G49*H49</f>
        <v>0</v>
      </c>
      <c r="J49" s="54" t="s">
        <v>141</v>
      </c>
      <c r="K49" s="49"/>
      <c r="Z49" s="53">
        <f>IF(AQ49="5",BJ49,0)</f>
        <v>0</v>
      </c>
      <c r="AB49" s="53">
        <f>IF(AQ49="1",BH49,0)</f>
        <v>0</v>
      </c>
      <c r="AC49" s="53">
        <f>IF(AQ49="1",BI49,0)</f>
        <v>0</v>
      </c>
      <c r="AD49" s="53">
        <f>IF(AQ49="7",BH49,0)</f>
        <v>0</v>
      </c>
      <c r="AE49" s="53">
        <f>IF(AQ49="7",BI49,0)</f>
        <v>0</v>
      </c>
      <c r="AF49" s="53">
        <f>IF(AQ49="2",BH49,0)</f>
        <v>0</v>
      </c>
      <c r="AG49" s="53">
        <f>IF(AQ49="2",BI49,0)</f>
        <v>0</v>
      </c>
      <c r="AH49" s="53">
        <f>IF(AQ49="0",BJ49,0)</f>
        <v>0</v>
      </c>
      <c r="AI49" s="36" t="s">
        <v>170</v>
      </c>
      <c r="AJ49" s="53">
        <f>IF(AN49=0,I49,0)</f>
        <v>0</v>
      </c>
      <c r="AK49" s="53">
        <f>IF(AN49=12,I49,0)</f>
        <v>0</v>
      </c>
      <c r="AL49" s="53">
        <f>IF(AN49=21,I49,0)</f>
        <v>0</v>
      </c>
      <c r="AN49" s="53">
        <v>21</v>
      </c>
      <c r="AO49" s="53">
        <f>H49*0</f>
        <v>0</v>
      </c>
      <c r="AP49" s="53">
        <f>H49*(1-0)</f>
        <v>0</v>
      </c>
      <c r="AQ49" s="54" t="s">
        <v>147</v>
      </c>
      <c r="AV49" s="53">
        <f>AW49+AX49</f>
        <v>0</v>
      </c>
      <c r="AW49" s="53">
        <f>G49*AO49</f>
        <v>0</v>
      </c>
      <c r="AX49" s="53">
        <f>G49*AP49</f>
        <v>0</v>
      </c>
      <c r="AY49" s="54" t="s">
        <v>237</v>
      </c>
      <c r="AZ49" s="54" t="s">
        <v>187</v>
      </c>
      <c r="BA49" s="36" t="s">
        <v>180</v>
      </c>
      <c r="BC49" s="53">
        <f>AW49+AX49</f>
        <v>0</v>
      </c>
      <c r="BD49" s="53">
        <f>H49/(100-BE49)*100</f>
        <v>0</v>
      </c>
      <c r="BE49" s="53">
        <v>0</v>
      </c>
      <c r="BF49" s="53">
        <f>49</f>
        <v>49</v>
      </c>
      <c r="BH49" s="53">
        <f>G49*AO49</f>
        <v>0</v>
      </c>
      <c r="BI49" s="53">
        <f>G49*AP49</f>
        <v>0</v>
      </c>
      <c r="BJ49" s="53">
        <f>G49*H49</f>
        <v>0</v>
      </c>
      <c r="BK49" s="53"/>
      <c r="BL49" s="53"/>
      <c r="BW49" s="53">
        <v>21</v>
      </c>
      <c r="BX49" s="3" t="s">
        <v>236</v>
      </c>
    </row>
    <row r="50" spans="1:76" ht="14.4" x14ac:dyDescent="0.3">
      <c r="A50" s="1" t="s">
        <v>238</v>
      </c>
      <c r="B50" s="2" t="s">
        <v>170</v>
      </c>
      <c r="C50" s="2" t="s">
        <v>239</v>
      </c>
      <c r="D50" s="62" t="s">
        <v>240</v>
      </c>
      <c r="E50" s="63"/>
      <c r="F50" s="2" t="s">
        <v>214</v>
      </c>
      <c r="G50" s="53">
        <v>85.6</v>
      </c>
      <c r="H50" s="53">
        <v>0</v>
      </c>
      <c r="I50" s="53">
        <f>G50*H50</f>
        <v>0</v>
      </c>
      <c r="J50" s="54" t="s">
        <v>141</v>
      </c>
      <c r="K50" s="49"/>
      <c r="Z50" s="53">
        <f>IF(AQ50="5",BJ50,0)</f>
        <v>0</v>
      </c>
      <c r="AB50" s="53">
        <f>IF(AQ50="1",BH50,0)</f>
        <v>0</v>
      </c>
      <c r="AC50" s="53">
        <f>IF(AQ50="1",BI50,0)</f>
        <v>0</v>
      </c>
      <c r="AD50" s="53">
        <f>IF(AQ50="7",BH50,0)</f>
        <v>0</v>
      </c>
      <c r="AE50" s="53">
        <f>IF(AQ50="7",BI50,0)</f>
        <v>0</v>
      </c>
      <c r="AF50" s="53">
        <f>IF(AQ50="2",BH50,0)</f>
        <v>0</v>
      </c>
      <c r="AG50" s="53">
        <f>IF(AQ50="2",BI50,0)</f>
        <v>0</v>
      </c>
      <c r="AH50" s="53">
        <f>IF(AQ50="0",BJ50,0)</f>
        <v>0</v>
      </c>
      <c r="AI50" s="36" t="s">
        <v>170</v>
      </c>
      <c r="AJ50" s="53">
        <f>IF(AN50=0,I50,0)</f>
        <v>0</v>
      </c>
      <c r="AK50" s="53">
        <f>IF(AN50=12,I50,0)</f>
        <v>0</v>
      </c>
      <c r="AL50" s="53">
        <f>IF(AN50=21,I50,0)</f>
        <v>0</v>
      </c>
      <c r="AN50" s="53">
        <v>21</v>
      </c>
      <c r="AO50" s="53">
        <f>H50*0</f>
        <v>0</v>
      </c>
      <c r="AP50" s="53">
        <f>H50*(1-0)</f>
        <v>0</v>
      </c>
      <c r="AQ50" s="54" t="s">
        <v>147</v>
      </c>
      <c r="AV50" s="53">
        <f>AW50+AX50</f>
        <v>0</v>
      </c>
      <c r="AW50" s="53">
        <f>G50*AO50</f>
        <v>0</v>
      </c>
      <c r="AX50" s="53">
        <f>G50*AP50</f>
        <v>0</v>
      </c>
      <c r="AY50" s="54" t="s">
        <v>237</v>
      </c>
      <c r="AZ50" s="54" t="s">
        <v>187</v>
      </c>
      <c r="BA50" s="36" t="s">
        <v>180</v>
      </c>
      <c r="BC50" s="53">
        <f>AW50+AX50</f>
        <v>0</v>
      </c>
      <c r="BD50" s="53">
        <f>H50/(100-BE50)*100</f>
        <v>0</v>
      </c>
      <c r="BE50" s="53">
        <v>0</v>
      </c>
      <c r="BF50" s="53">
        <f>50</f>
        <v>50</v>
      </c>
      <c r="BH50" s="53">
        <f>G50*AO50</f>
        <v>0</v>
      </c>
      <c r="BI50" s="53">
        <f>G50*AP50</f>
        <v>0</v>
      </c>
      <c r="BJ50" s="53">
        <f>G50*H50</f>
        <v>0</v>
      </c>
      <c r="BK50" s="53"/>
      <c r="BL50" s="53"/>
      <c r="BW50" s="53">
        <v>21</v>
      </c>
      <c r="BX50" s="3" t="s">
        <v>240</v>
      </c>
    </row>
    <row r="51" spans="1:76" ht="14.4" x14ac:dyDescent="0.3">
      <c r="A51" s="50" t="s">
        <v>10</v>
      </c>
      <c r="B51" s="51" t="s">
        <v>241</v>
      </c>
      <c r="C51" s="51" t="s">
        <v>10</v>
      </c>
      <c r="D51" s="133" t="s">
        <v>242</v>
      </c>
      <c r="E51" s="134"/>
      <c r="F51" s="52" t="s">
        <v>80</v>
      </c>
      <c r="G51" s="52" t="s">
        <v>80</v>
      </c>
      <c r="H51" s="52" t="s">
        <v>80</v>
      </c>
      <c r="I51" s="28">
        <f>I52+I54+I57+I59</f>
        <v>0</v>
      </c>
      <c r="J51" s="36" t="s">
        <v>10</v>
      </c>
      <c r="K51" s="49"/>
    </row>
    <row r="52" spans="1:76" ht="14.4" x14ac:dyDescent="0.3">
      <c r="A52" s="50" t="s">
        <v>10</v>
      </c>
      <c r="B52" s="51" t="s">
        <v>241</v>
      </c>
      <c r="C52" s="51" t="s">
        <v>243</v>
      </c>
      <c r="D52" s="133" t="s">
        <v>244</v>
      </c>
      <c r="E52" s="134"/>
      <c r="F52" s="52" t="s">
        <v>80</v>
      </c>
      <c r="G52" s="52" t="s">
        <v>80</v>
      </c>
      <c r="H52" s="52" t="s">
        <v>80</v>
      </c>
      <c r="I52" s="28">
        <f>SUM(I53:I53)</f>
        <v>0</v>
      </c>
      <c r="J52" s="36" t="s">
        <v>10</v>
      </c>
      <c r="K52" s="49"/>
      <c r="AI52" s="36" t="s">
        <v>241</v>
      </c>
      <c r="AS52" s="28">
        <f>SUM(AJ53:AJ53)</f>
        <v>0</v>
      </c>
      <c r="AT52" s="28">
        <f>SUM(AK53:AK53)</f>
        <v>0</v>
      </c>
      <c r="AU52" s="28">
        <f>SUM(AL53:AL53)</f>
        <v>0</v>
      </c>
    </row>
    <row r="53" spans="1:76" ht="14.4" x14ac:dyDescent="0.3">
      <c r="A53" s="1" t="s">
        <v>245</v>
      </c>
      <c r="B53" s="2" t="s">
        <v>241</v>
      </c>
      <c r="C53" s="2" t="s">
        <v>246</v>
      </c>
      <c r="D53" s="62" t="s">
        <v>247</v>
      </c>
      <c r="E53" s="63"/>
      <c r="F53" s="2" t="s">
        <v>191</v>
      </c>
      <c r="G53" s="53">
        <v>6</v>
      </c>
      <c r="H53" s="53">
        <v>0</v>
      </c>
      <c r="I53" s="53">
        <f>G53*H53</f>
        <v>0</v>
      </c>
      <c r="J53" s="54" t="s">
        <v>141</v>
      </c>
      <c r="K53" s="49"/>
      <c r="Z53" s="53">
        <f>IF(AQ53="5",BJ53,0)</f>
        <v>0</v>
      </c>
      <c r="AB53" s="53">
        <f>IF(AQ53="1",BH53,0)</f>
        <v>0</v>
      </c>
      <c r="AC53" s="53">
        <f>IF(AQ53="1",BI53,0)</f>
        <v>0</v>
      </c>
      <c r="AD53" s="53">
        <f>IF(AQ53="7",BH53,0)</f>
        <v>0</v>
      </c>
      <c r="AE53" s="53">
        <f>IF(AQ53="7",BI53,0)</f>
        <v>0</v>
      </c>
      <c r="AF53" s="53">
        <f>IF(AQ53="2",BH53,0)</f>
        <v>0</v>
      </c>
      <c r="AG53" s="53">
        <f>IF(AQ53="2",BI53,0)</f>
        <v>0</v>
      </c>
      <c r="AH53" s="53">
        <f>IF(AQ53="0",BJ53,0)</f>
        <v>0</v>
      </c>
      <c r="AI53" s="36" t="s">
        <v>241</v>
      </c>
      <c r="AJ53" s="53">
        <f>IF(AN53=0,I53,0)</f>
        <v>0</v>
      </c>
      <c r="AK53" s="53">
        <f>IF(AN53=12,I53,0)</f>
        <v>0</v>
      </c>
      <c r="AL53" s="53">
        <f>IF(AN53=21,I53,0)</f>
        <v>0</v>
      </c>
      <c r="AN53" s="53">
        <v>21</v>
      </c>
      <c r="AO53" s="53">
        <f>H53*0</f>
        <v>0</v>
      </c>
      <c r="AP53" s="53">
        <f>H53*(1-0)</f>
        <v>0</v>
      </c>
      <c r="AQ53" s="54" t="s">
        <v>154</v>
      </c>
      <c r="AV53" s="53">
        <f>AW53+AX53</f>
        <v>0</v>
      </c>
      <c r="AW53" s="53">
        <f>G53*AO53</f>
        <v>0</v>
      </c>
      <c r="AX53" s="53">
        <f>G53*AP53</f>
        <v>0</v>
      </c>
      <c r="AY53" s="54" t="s">
        <v>248</v>
      </c>
      <c r="AZ53" s="54" t="s">
        <v>249</v>
      </c>
      <c r="BA53" s="36" t="s">
        <v>250</v>
      </c>
      <c r="BC53" s="53">
        <f>AW53+AX53</f>
        <v>0</v>
      </c>
      <c r="BD53" s="53">
        <f>H53/(100-BE53)*100</f>
        <v>0</v>
      </c>
      <c r="BE53" s="53">
        <v>0</v>
      </c>
      <c r="BF53" s="53">
        <f>53</f>
        <v>53</v>
      </c>
      <c r="BH53" s="53">
        <f>G53*AO53</f>
        <v>0</v>
      </c>
      <c r="BI53" s="53">
        <f>G53*AP53</f>
        <v>0</v>
      </c>
      <c r="BJ53" s="53">
        <f>G53*H53</f>
        <v>0</v>
      </c>
      <c r="BK53" s="53"/>
      <c r="BL53" s="53">
        <v>721</v>
      </c>
      <c r="BW53" s="53">
        <v>21</v>
      </c>
      <c r="BX53" s="3" t="s">
        <v>247</v>
      </c>
    </row>
    <row r="54" spans="1:76" ht="14.4" x14ac:dyDescent="0.3">
      <c r="A54" s="50" t="s">
        <v>10</v>
      </c>
      <c r="B54" s="51" t="s">
        <v>241</v>
      </c>
      <c r="C54" s="51" t="s">
        <v>251</v>
      </c>
      <c r="D54" s="133" t="s">
        <v>252</v>
      </c>
      <c r="E54" s="134"/>
      <c r="F54" s="52" t="s">
        <v>80</v>
      </c>
      <c r="G54" s="52" t="s">
        <v>80</v>
      </c>
      <c r="H54" s="52" t="s">
        <v>80</v>
      </c>
      <c r="I54" s="28">
        <f>SUM(I55:I56)</f>
        <v>0</v>
      </c>
      <c r="J54" s="36" t="s">
        <v>10</v>
      </c>
      <c r="K54" s="49"/>
      <c r="AI54" s="36" t="s">
        <v>241</v>
      </c>
      <c r="AS54" s="28">
        <f>SUM(AJ55:AJ56)</f>
        <v>0</v>
      </c>
      <c r="AT54" s="28">
        <f>SUM(AK55:AK56)</f>
        <v>0</v>
      </c>
      <c r="AU54" s="28">
        <f>SUM(AL55:AL56)</f>
        <v>0</v>
      </c>
    </row>
    <row r="55" spans="1:76" ht="14.4" x14ac:dyDescent="0.3">
      <c r="A55" s="1" t="s">
        <v>253</v>
      </c>
      <c r="B55" s="2" t="s">
        <v>241</v>
      </c>
      <c r="C55" s="2" t="s">
        <v>254</v>
      </c>
      <c r="D55" s="62" t="s">
        <v>255</v>
      </c>
      <c r="E55" s="63"/>
      <c r="F55" s="2" t="s">
        <v>191</v>
      </c>
      <c r="G55" s="53">
        <v>4</v>
      </c>
      <c r="H55" s="53">
        <v>0</v>
      </c>
      <c r="I55" s="53">
        <f>G55*H55</f>
        <v>0</v>
      </c>
      <c r="J55" s="54" t="s">
        <v>141</v>
      </c>
      <c r="K55" s="49"/>
      <c r="Z55" s="53">
        <f>IF(AQ55="5",BJ55,0)</f>
        <v>0</v>
      </c>
      <c r="AB55" s="53">
        <f>IF(AQ55="1",BH55,0)</f>
        <v>0</v>
      </c>
      <c r="AC55" s="53">
        <f>IF(AQ55="1",BI55,0)</f>
        <v>0</v>
      </c>
      <c r="AD55" s="53">
        <f>IF(AQ55="7",BH55,0)</f>
        <v>0</v>
      </c>
      <c r="AE55" s="53">
        <f>IF(AQ55="7",BI55,0)</f>
        <v>0</v>
      </c>
      <c r="AF55" s="53">
        <f>IF(AQ55="2",BH55,0)</f>
        <v>0</v>
      </c>
      <c r="AG55" s="53">
        <f>IF(AQ55="2",BI55,0)</f>
        <v>0</v>
      </c>
      <c r="AH55" s="53">
        <f>IF(AQ55="0",BJ55,0)</f>
        <v>0</v>
      </c>
      <c r="AI55" s="36" t="s">
        <v>241</v>
      </c>
      <c r="AJ55" s="53">
        <f>IF(AN55=0,I55,0)</f>
        <v>0</v>
      </c>
      <c r="AK55" s="53">
        <f>IF(AN55=12,I55,0)</f>
        <v>0</v>
      </c>
      <c r="AL55" s="53">
        <f>IF(AN55=21,I55,0)</f>
        <v>0</v>
      </c>
      <c r="AN55" s="53">
        <v>21</v>
      </c>
      <c r="AO55" s="53">
        <f>H55*0</f>
        <v>0</v>
      </c>
      <c r="AP55" s="53">
        <f>H55*(1-0)</f>
        <v>0</v>
      </c>
      <c r="AQ55" s="54" t="s">
        <v>154</v>
      </c>
      <c r="AV55" s="53">
        <f>AW55+AX55</f>
        <v>0</v>
      </c>
      <c r="AW55" s="53">
        <f>G55*AO55</f>
        <v>0</v>
      </c>
      <c r="AX55" s="53">
        <f>G55*AP55</f>
        <v>0</v>
      </c>
      <c r="AY55" s="54" t="s">
        <v>256</v>
      </c>
      <c r="AZ55" s="54" t="s">
        <v>249</v>
      </c>
      <c r="BA55" s="36" t="s">
        <v>250</v>
      </c>
      <c r="BC55" s="53">
        <f>AW55+AX55</f>
        <v>0</v>
      </c>
      <c r="BD55" s="53">
        <f>H55/(100-BE55)*100</f>
        <v>0</v>
      </c>
      <c r="BE55" s="53">
        <v>0</v>
      </c>
      <c r="BF55" s="53">
        <f>55</f>
        <v>55</v>
      </c>
      <c r="BH55" s="53">
        <f>G55*AO55</f>
        <v>0</v>
      </c>
      <c r="BI55" s="53">
        <f>G55*AP55</f>
        <v>0</v>
      </c>
      <c r="BJ55" s="53">
        <f>G55*H55</f>
        <v>0</v>
      </c>
      <c r="BK55" s="53"/>
      <c r="BL55" s="53">
        <v>728</v>
      </c>
      <c r="BW55" s="53">
        <v>21</v>
      </c>
      <c r="BX55" s="3" t="s">
        <v>255</v>
      </c>
    </row>
    <row r="56" spans="1:76" ht="14.4" x14ac:dyDescent="0.3">
      <c r="A56" s="1" t="s">
        <v>257</v>
      </c>
      <c r="B56" s="2" t="s">
        <v>241</v>
      </c>
      <c r="C56" s="2" t="s">
        <v>258</v>
      </c>
      <c r="D56" s="62" t="s">
        <v>259</v>
      </c>
      <c r="E56" s="63"/>
      <c r="F56" s="2" t="s">
        <v>191</v>
      </c>
      <c r="G56" s="53">
        <v>14.5</v>
      </c>
      <c r="H56" s="53">
        <v>0</v>
      </c>
      <c r="I56" s="53">
        <f>G56*H56</f>
        <v>0</v>
      </c>
      <c r="J56" s="54" t="s">
        <v>141</v>
      </c>
      <c r="K56" s="49"/>
      <c r="Z56" s="53">
        <f>IF(AQ56="5",BJ56,0)</f>
        <v>0</v>
      </c>
      <c r="AB56" s="53">
        <f>IF(AQ56="1",BH56,0)</f>
        <v>0</v>
      </c>
      <c r="AC56" s="53">
        <f>IF(AQ56="1",BI56,0)</f>
        <v>0</v>
      </c>
      <c r="AD56" s="53">
        <f>IF(AQ56="7",BH56,0)</f>
        <v>0</v>
      </c>
      <c r="AE56" s="53">
        <f>IF(AQ56="7",BI56,0)</f>
        <v>0</v>
      </c>
      <c r="AF56" s="53">
        <f>IF(AQ56="2",BH56,0)</f>
        <v>0</v>
      </c>
      <c r="AG56" s="53">
        <f>IF(AQ56="2",BI56,0)</f>
        <v>0</v>
      </c>
      <c r="AH56" s="53">
        <f>IF(AQ56="0",BJ56,0)</f>
        <v>0</v>
      </c>
      <c r="AI56" s="36" t="s">
        <v>241</v>
      </c>
      <c r="AJ56" s="53">
        <f>IF(AN56=0,I56,0)</f>
        <v>0</v>
      </c>
      <c r="AK56" s="53">
        <f>IF(AN56=12,I56,0)</f>
        <v>0</v>
      </c>
      <c r="AL56" s="53">
        <f>IF(AN56=21,I56,0)</f>
        <v>0</v>
      </c>
      <c r="AN56" s="53">
        <v>21</v>
      </c>
      <c r="AO56" s="53">
        <f>H56*0</f>
        <v>0</v>
      </c>
      <c r="AP56" s="53">
        <f>H56*(1-0)</f>
        <v>0</v>
      </c>
      <c r="AQ56" s="54" t="s">
        <v>154</v>
      </c>
      <c r="AV56" s="53">
        <f>AW56+AX56</f>
        <v>0</v>
      </c>
      <c r="AW56" s="53">
        <f>G56*AO56</f>
        <v>0</v>
      </c>
      <c r="AX56" s="53">
        <f>G56*AP56</f>
        <v>0</v>
      </c>
      <c r="AY56" s="54" t="s">
        <v>256</v>
      </c>
      <c r="AZ56" s="54" t="s">
        <v>249</v>
      </c>
      <c r="BA56" s="36" t="s">
        <v>250</v>
      </c>
      <c r="BC56" s="53">
        <f>AW56+AX56</f>
        <v>0</v>
      </c>
      <c r="BD56" s="53">
        <f>H56/(100-BE56)*100</f>
        <v>0</v>
      </c>
      <c r="BE56" s="53">
        <v>0</v>
      </c>
      <c r="BF56" s="53">
        <f>56</f>
        <v>56</v>
      </c>
      <c r="BH56" s="53">
        <f>G56*AO56</f>
        <v>0</v>
      </c>
      <c r="BI56" s="53">
        <f>G56*AP56</f>
        <v>0</v>
      </c>
      <c r="BJ56" s="53">
        <f>G56*H56</f>
        <v>0</v>
      </c>
      <c r="BK56" s="53"/>
      <c r="BL56" s="53">
        <v>728</v>
      </c>
      <c r="BW56" s="53">
        <v>21</v>
      </c>
      <c r="BX56" s="3" t="s">
        <v>259</v>
      </c>
    </row>
    <row r="57" spans="1:76" ht="14.4" x14ac:dyDescent="0.3">
      <c r="A57" s="50" t="s">
        <v>10</v>
      </c>
      <c r="B57" s="51" t="s">
        <v>241</v>
      </c>
      <c r="C57" s="51" t="s">
        <v>260</v>
      </c>
      <c r="D57" s="133" t="s">
        <v>261</v>
      </c>
      <c r="E57" s="134"/>
      <c r="F57" s="52" t="s">
        <v>80</v>
      </c>
      <c r="G57" s="52" t="s">
        <v>80</v>
      </c>
      <c r="H57" s="52" t="s">
        <v>80</v>
      </c>
      <c r="I57" s="28">
        <f>SUM(I58:I58)</f>
        <v>0</v>
      </c>
      <c r="J57" s="36" t="s">
        <v>10</v>
      </c>
      <c r="K57" s="49"/>
      <c r="AI57" s="36" t="s">
        <v>241</v>
      </c>
      <c r="AS57" s="28">
        <f>SUM(AJ58:AJ58)</f>
        <v>0</v>
      </c>
      <c r="AT57" s="28">
        <f>SUM(AK58:AK58)</f>
        <v>0</v>
      </c>
      <c r="AU57" s="28">
        <f>SUM(AL58:AL58)</f>
        <v>0</v>
      </c>
    </row>
    <row r="58" spans="1:76" ht="14.4" x14ac:dyDescent="0.3">
      <c r="A58" s="1" t="s">
        <v>262</v>
      </c>
      <c r="B58" s="2" t="s">
        <v>241</v>
      </c>
      <c r="C58" s="2" t="s">
        <v>263</v>
      </c>
      <c r="D58" s="62" t="s">
        <v>264</v>
      </c>
      <c r="E58" s="63"/>
      <c r="F58" s="2" t="s">
        <v>202</v>
      </c>
      <c r="G58" s="53">
        <v>1</v>
      </c>
      <c r="H58" s="53">
        <v>0</v>
      </c>
      <c r="I58" s="53">
        <f>G58*H58</f>
        <v>0</v>
      </c>
      <c r="J58" s="54" t="s">
        <v>141</v>
      </c>
      <c r="K58" s="49"/>
      <c r="Z58" s="53">
        <f>IF(AQ58="5",BJ58,0)</f>
        <v>0</v>
      </c>
      <c r="AB58" s="53">
        <f>IF(AQ58="1",BH58,0)</f>
        <v>0</v>
      </c>
      <c r="AC58" s="53">
        <f>IF(AQ58="1",BI58,0)</f>
        <v>0</v>
      </c>
      <c r="AD58" s="53">
        <f>IF(AQ58="7",BH58,0)</f>
        <v>0</v>
      </c>
      <c r="AE58" s="53">
        <f>IF(AQ58="7",BI58,0)</f>
        <v>0</v>
      </c>
      <c r="AF58" s="53">
        <f>IF(AQ58="2",BH58,0)</f>
        <v>0</v>
      </c>
      <c r="AG58" s="53">
        <f>IF(AQ58="2",BI58,0)</f>
        <v>0</v>
      </c>
      <c r="AH58" s="53">
        <f>IF(AQ58="0",BJ58,0)</f>
        <v>0</v>
      </c>
      <c r="AI58" s="36" t="s">
        <v>241</v>
      </c>
      <c r="AJ58" s="53">
        <f>IF(AN58=0,I58,0)</f>
        <v>0</v>
      </c>
      <c r="AK58" s="53">
        <f>IF(AN58=12,I58,0)</f>
        <v>0</v>
      </c>
      <c r="AL58" s="53">
        <f>IF(AN58=21,I58,0)</f>
        <v>0</v>
      </c>
      <c r="AN58" s="53">
        <v>21</v>
      </c>
      <c r="AO58" s="53">
        <f>H58*0</f>
        <v>0</v>
      </c>
      <c r="AP58" s="53">
        <f>H58*(1-0)</f>
        <v>0</v>
      </c>
      <c r="AQ58" s="54" t="s">
        <v>154</v>
      </c>
      <c r="AV58" s="53">
        <f>AW58+AX58</f>
        <v>0</v>
      </c>
      <c r="AW58" s="53">
        <f>G58*AO58</f>
        <v>0</v>
      </c>
      <c r="AX58" s="53">
        <f>G58*AP58</f>
        <v>0</v>
      </c>
      <c r="AY58" s="54" t="s">
        <v>265</v>
      </c>
      <c r="AZ58" s="54" t="s">
        <v>266</v>
      </c>
      <c r="BA58" s="36" t="s">
        <v>250</v>
      </c>
      <c r="BC58" s="53">
        <f>AW58+AX58</f>
        <v>0</v>
      </c>
      <c r="BD58" s="53">
        <f>H58/(100-BE58)*100</f>
        <v>0</v>
      </c>
      <c r="BE58" s="53">
        <v>0</v>
      </c>
      <c r="BF58" s="53">
        <f>58</f>
        <v>58</v>
      </c>
      <c r="BH58" s="53">
        <f>G58*AO58</f>
        <v>0</v>
      </c>
      <c r="BI58" s="53">
        <f>G58*AP58</f>
        <v>0</v>
      </c>
      <c r="BJ58" s="53">
        <f>G58*H58</f>
        <v>0</v>
      </c>
      <c r="BK58" s="53"/>
      <c r="BL58" s="53">
        <v>731</v>
      </c>
      <c r="BW58" s="53">
        <v>21</v>
      </c>
      <c r="BX58" s="3" t="s">
        <v>264</v>
      </c>
    </row>
    <row r="59" spans="1:76" ht="14.4" x14ac:dyDescent="0.3">
      <c r="A59" s="50" t="s">
        <v>10</v>
      </c>
      <c r="B59" s="51" t="s">
        <v>241</v>
      </c>
      <c r="C59" s="51" t="s">
        <v>267</v>
      </c>
      <c r="D59" s="133" t="s">
        <v>268</v>
      </c>
      <c r="E59" s="134"/>
      <c r="F59" s="52" t="s">
        <v>80</v>
      </c>
      <c r="G59" s="52" t="s">
        <v>80</v>
      </c>
      <c r="H59" s="52" t="s">
        <v>80</v>
      </c>
      <c r="I59" s="28">
        <f>SUM(I60:I60)</f>
        <v>0</v>
      </c>
      <c r="J59" s="36" t="s">
        <v>10</v>
      </c>
      <c r="K59" s="49"/>
      <c r="AI59" s="36" t="s">
        <v>241</v>
      </c>
      <c r="AS59" s="28">
        <f>SUM(AJ60:AJ60)</f>
        <v>0</v>
      </c>
      <c r="AT59" s="28">
        <f>SUM(AK60:AK60)</f>
        <v>0</v>
      </c>
      <c r="AU59" s="28">
        <f>SUM(AL60:AL60)</f>
        <v>0</v>
      </c>
    </row>
    <row r="60" spans="1:76" ht="14.4" x14ac:dyDescent="0.3">
      <c r="A60" s="1" t="s">
        <v>269</v>
      </c>
      <c r="B60" s="2" t="s">
        <v>241</v>
      </c>
      <c r="C60" s="2" t="s">
        <v>270</v>
      </c>
      <c r="D60" s="62" t="s">
        <v>271</v>
      </c>
      <c r="E60" s="63"/>
      <c r="F60" s="2" t="s">
        <v>191</v>
      </c>
      <c r="G60" s="53">
        <v>41</v>
      </c>
      <c r="H60" s="53">
        <v>0</v>
      </c>
      <c r="I60" s="53">
        <f>G60*H60</f>
        <v>0</v>
      </c>
      <c r="J60" s="54" t="s">
        <v>141</v>
      </c>
      <c r="K60" s="49"/>
      <c r="Z60" s="53">
        <f>IF(AQ60="5",BJ60,0)</f>
        <v>0</v>
      </c>
      <c r="AB60" s="53">
        <f>IF(AQ60="1",BH60,0)</f>
        <v>0</v>
      </c>
      <c r="AC60" s="53">
        <f>IF(AQ60="1",BI60,0)</f>
        <v>0</v>
      </c>
      <c r="AD60" s="53">
        <f>IF(AQ60="7",BH60,0)</f>
        <v>0</v>
      </c>
      <c r="AE60" s="53">
        <f>IF(AQ60="7",BI60,0)</f>
        <v>0</v>
      </c>
      <c r="AF60" s="53">
        <f>IF(AQ60="2",BH60,0)</f>
        <v>0</v>
      </c>
      <c r="AG60" s="53">
        <f>IF(AQ60="2",BI60,0)</f>
        <v>0</v>
      </c>
      <c r="AH60" s="53">
        <f>IF(AQ60="0",BJ60,0)</f>
        <v>0</v>
      </c>
      <c r="AI60" s="36" t="s">
        <v>241</v>
      </c>
      <c r="AJ60" s="53">
        <f>IF(AN60=0,I60,0)</f>
        <v>0</v>
      </c>
      <c r="AK60" s="53">
        <f>IF(AN60=12,I60,0)</f>
        <v>0</v>
      </c>
      <c r="AL60" s="53">
        <f>IF(AN60=21,I60,0)</f>
        <v>0</v>
      </c>
      <c r="AN60" s="53">
        <v>21</v>
      </c>
      <c r="AO60" s="53">
        <f>H60*0</f>
        <v>0</v>
      </c>
      <c r="AP60" s="53">
        <f>H60*(1-0)</f>
        <v>0</v>
      </c>
      <c r="AQ60" s="54" t="s">
        <v>130</v>
      </c>
      <c r="AV60" s="53">
        <f>AW60+AX60</f>
        <v>0</v>
      </c>
      <c r="AW60" s="53">
        <f>G60*AO60</f>
        <v>0</v>
      </c>
      <c r="AX60" s="53">
        <f>G60*AP60</f>
        <v>0</v>
      </c>
      <c r="AY60" s="54" t="s">
        <v>272</v>
      </c>
      <c r="AZ60" s="54" t="s">
        <v>273</v>
      </c>
      <c r="BA60" s="36" t="s">
        <v>250</v>
      </c>
      <c r="BC60" s="53">
        <f>AW60+AX60</f>
        <v>0</v>
      </c>
      <c r="BD60" s="53">
        <f>H60/(100-BE60)*100</f>
        <v>0</v>
      </c>
      <c r="BE60" s="53">
        <v>0</v>
      </c>
      <c r="BF60" s="53">
        <f>60</f>
        <v>60</v>
      </c>
      <c r="BH60" s="53">
        <f>G60*AO60</f>
        <v>0</v>
      </c>
      <c r="BI60" s="53">
        <f>G60*AP60</f>
        <v>0</v>
      </c>
      <c r="BJ60" s="53">
        <f>G60*H60</f>
        <v>0</v>
      </c>
      <c r="BK60" s="53"/>
      <c r="BL60" s="53"/>
      <c r="BW60" s="53">
        <v>21</v>
      </c>
      <c r="BX60" s="3" t="s">
        <v>271</v>
      </c>
    </row>
    <row r="61" spans="1:76" ht="14.4" x14ac:dyDescent="0.3">
      <c r="A61" s="50" t="s">
        <v>10</v>
      </c>
      <c r="B61" s="51" t="s">
        <v>274</v>
      </c>
      <c r="C61" s="51" t="s">
        <v>10</v>
      </c>
      <c r="D61" s="133" t="s">
        <v>275</v>
      </c>
      <c r="E61" s="134"/>
      <c r="F61" s="52" t="s">
        <v>80</v>
      </c>
      <c r="G61" s="52" t="s">
        <v>80</v>
      </c>
      <c r="H61" s="52" t="s">
        <v>80</v>
      </c>
      <c r="I61" s="28">
        <f>I62+I64+I67+I79+I81+I90+I95+I97+I99</f>
        <v>0</v>
      </c>
      <c r="J61" s="36" t="s">
        <v>10</v>
      </c>
      <c r="K61" s="49"/>
    </row>
    <row r="62" spans="1:76" ht="14.4" x14ac:dyDescent="0.3">
      <c r="A62" s="50" t="s">
        <v>10</v>
      </c>
      <c r="B62" s="51" t="s">
        <v>274</v>
      </c>
      <c r="C62" s="51" t="s">
        <v>245</v>
      </c>
      <c r="D62" s="133" t="s">
        <v>276</v>
      </c>
      <c r="E62" s="134"/>
      <c r="F62" s="52" t="s">
        <v>80</v>
      </c>
      <c r="G62" s="52" t="s">
        <v>80</v>
      </c>
      <c r="H62" s="52" t="s">
        <v>80</v>
      </c>
      <c r="I62" s="28">
        <f>SUM(I63:I63)</f>
        <v>0</v>
      </c>
      <c r="J62" s="36" t="s">
        <v>10</v>
      </c>
      <c r="K62" s="49"/>
      <c r="AI62" s="36" t="s">
        <v>274</v>
      </c>
      <c r="AS62" s="28">
        <f>SUM(AJ63:AJ63)</f>
        <v>0</v>
      </c>
      <c r="AT62" s="28">
        <f>SUM(AK63:AK63)</f>
        <v>0</v>
      </c>
      <c r="AU62" s="28">
        <f>SUM(AL63:AL63)</f>
        <v>0</v>
      </c>
    </row>
    <row r="63" spans="1:76" ht="26.4" x14ac:dyDescent="0.3">
      <c r="A63" s="1" t="s">
        <v>277</v>
      </c>
      <c r="B63" s="2" t="s">
        <v>274</v>
      </c>
      <c r="C63" s="2" t="s">
        <v>278</v>
      </c>
      <c r="D63" s="62" t="s">
        <v>279</v>
      </c>
      <c r="E63" s="63"/>
      <c r="F63" s="2" t="s">
        <v>198</v>
      </c>
      <c r="G63" s="53">
        <v>0.64800000000000002</v>
      </c>
      <c r="H63" s="53">
        <v>0</v>
      </c>
      <c r="I63" s="53">
        <f>G63*H63</f>
        <v>0</v>
      </c>
      <c r="J63" s="54" t="s">
        <v>149</v>
      </c>
      <c r="K63" s="49"/>
      <c r="Z63" s="53">
        <f>IF(AQ63="5",BJ63,0)</f>
        <v>0</v>
      </c>
      <c r="AB63" s="53">
        <f>IF(AQ63="1",BH63,0)</f>
        <v>0</v>
      </c>
      <c r="AC63" s="53">
        <f>IF(AQ63="1",BI63,0)</f>
        <v>0</v>
      </c>
      <c r="AD63" s="53">
        <f>IF(AQ63="7",BH63,0)</f>
        <v>0</v>
      </c>
      <c r="AE63" s="53">
        <f>IF(AQ63="7",BI63,0)</f>
        <v>0</v>
      </c>
      <c r="AF63" s="53">
        <f>IF(AQ63="2",BH63,0)</f>
        <v>0</v>
      </c>
      <c r="AG63" s="53">
        <f>IF(AQ63="2",BI63,0)</f>
        <v>0</v>
      </c>
      <c r="AH63" s="53">
        <f>IF(AQ63="0",BJ63,0)</f>
        <v>0</v>
      </c>
      <c r="AI63" s="36" t="s">
        <v>274</v>
      </c>
      <c r="AJ63" s="53">
        <f>IF(AN63=0,I63,0)</f>
        <v>0</v>
      </c>
      <c r="AK63" s="53">
        <f>IF(AN63=12,I63,0)</f>
        <v>0</v>
      </c>
      <c r="AL63" s="53">
        <f>IF(AN63=21,I63,0)</f>
        <v>0</v>
      </c>
      <c r="AN63" s="53">
        <v>21</v>
      </c>
      <c r="AO63" s="53">
        <f>H63*0.617758935</f>
        <v>0</v>
      </c>
      <c r="AP63" s="53">
        <f>H63*(1-0.617758935)</f>
        <v>0</v>
      </c>
      <c r="AQ63" s="54" t="s">
        <v>121</v>
      </c>
      <c r="AV63" s="53">
        <f>AW63+AX63</f>
        <v>0</v>
      </c>
      <c r="AW63" s="53">
        <f>G63*AO63</f>
        <v>0</v>
      </c>
      <c r="AX63" s="53">
        <f>G63*AP63</f>
        <v>0</v>
      </c>
      <c r="AY63" s="54" t="s">
        <v>280</v>
      </c>
      <c r="AZ63" s="54" t="s">
        <v>281</v>
      </c>
      <c r="BA63" s="36" t="s">
        <v>282</v>
      </c>
      <c r="BC63" s="53">
        <f>AW63+AX63</f>
        <v>0</v>
      </c>
      <c r="BD63" s="53">
        <f>H63/(100-BE63)*100</f>
        <v>0</v>
      </c>
      <c r="BE63" s="53">
        <v>0</v>
      </c>
      <c r="BF63" s="53">
        <f>63</f>
        <v>63</v>
      </c>
      <c r="BH63" s="53">
        <f>G63*AO63</f>
        <v>0</v>
      </c>
      <c r="BI63" s="53">
        <f>G63*AP63</f>
        <v>0</v>
      </c>
      <c r="BJ63" s="53">
        <f>G63*H63</f>
        <v>0</v>
      </c>
      <c r="BK63" s="53"/>
      <c r="BL63" s="53">
        <v>27</v>
      </c>
      <c r="BW63" s="53">
        <v>21</v>
      </c>
      <c r="BX63" s="3" t="s">
        <v>279</v>
      </c>
    </row>
    <row r="64" spans="1:76" ht="14.4" x14ac:dyDescent="0.3">
      <c r="A64" s="50" t="s">
        <v>10</v>
      </c>
      <c r="B64" s="51" t="s">
        <v>274</v>
      </c>
      <c r="C64" s="51" t="s">
        <v>283</v>
      </c>
      <c r="D64" s="133" t="s">
        <v>284</v>
      </c>
      <c r="E64" s="134"/>
      <c r="F64" s="52" t="s">
        <v>80</v>
      </c>
      <c r="G64" s="52" t="s">
        <v>80</v>
      </c>
      <c r="H64" s="52" t="s">
        <v>80</v>
      </c>
      <c r="I64" s="28">
        <f>SUM(I65:I66)</f>
        <v>0</v>
      </c>
      <c r="J64" s="36" t="s">
        <v>10</v>
      </c>
      <c r="K64" s="49"/>
      <c r="AI64" s="36" t="s">
        <v>274</v>
      </c>
      <c r="AS64" s="28">
        <f>SUM(AJ65:AJ66)</f>
        <v>0</v>
      </c>
      <c r="AT64" s="28">
        <f>SUM(AK65:AK66)</f>
        <v>0</v>
      </c>
      <c r="AU64" s="28">
        <f>SUM(AL65:AL66)</f>
        <v>0</v>
      </c>
    </row>
    <row r="65" spans="1:76" ht="14.4" x14ac:dyDescent="0.3">
      <c r="A65" s="1" t="s">
        <v>285</v>
      </c>
      <c r="B65" s="2" t="s">
        <v>274</v>
      </c>
      <c r="C65" s="2" t="s">
        <v>286</v>
      </c>
      <c r="D65" s="62" t="s">
        <v>287</v>
      </c>
      <c r="E65" s="63"/>
      <c r="F65" s="2" t="s">
        <v>177</v>
      </c>
      <c r="G65" s="53">
        <v>112.72</v>
      </c>
      <c r="H65" s="53">
        <v>0</v>
      </c>
      <c r="I65" s="53">
        <f>G65*H65</f>
        <v>0</v>
      </c>
      <c r="J65" s="54" t="s">
        <v>141</v>
      </c>
      <c r="K65" s="49"/>
      <c r="Z65" s="53">
        <f>IF(AQ65="5",BJ65,0)</f>
        <v>0</v>
      </c>
      <c r="AB65" s="53">
        <f>IF(AQ65="1",BH65,0)</f>
        <v>0</v>
      </c>
      <c r="AC65" s="53">
        <f>IF(AQ65="1",BI65,0)</f>
        <v>0</v>
      </c>
      <c r="AD65" s="53">
        <f>IF(AQ65="7",BH65,0)</f>
        <v>0</v>
      </c>
      <c r="AE65" s="53">
        <f>IF(AQ65="7",BI65,0)</f>
        <v>0</v>
      </c>
      <c r="AF65" s="53">
        <f>IF(AQ65="2",BH65,0)</f>
        <v>0</v>
      </c>
      <c r="AG65" s="53">
        <f>IF(AQ65="2",BI65,0)</f>
        <v>0</v>
      </c>
      <c r="AH65" s="53">
        <f>IF(AQ65="0",BJ65,0)</f>
        <v>0</v>
      </c>
      <c r="AI65" s="36" t="s">
        <v>274</v>
      </c>
      <c r="AJ65" s="53">
        <f>IF(AN65=0,I65,0)</f>
        <v>0</v>
      </c>
      <c r="AK65" s="53">
        <f>IF(AN65=12,I65,0)</f>
        <v>0</v>
      </c>
      <c r="AL65" s="53">
        <f>IF(AN65=21,I65,0)</f>
        <v>0</v>
      </c>
      <c r="AN65" s="53">
        <v>21</v>
      </c>
      <c r="AO65" s="53">
        <f>H65*0.887008917</f>
        <v>0</v>
      </c>
      <c r="AP65" s="53">
        <f>H65*(1-0.887008917)</f>
        <v>0</v>
      </c>
      <c r="AQ65" s="54" t="s">
        <v>121</v>
      </c>
      <c r="AV65" s="53">
        <f>AW65+AX65</f>
        <v>0</v>
      </c>
      <c r="AW65" s="53">
        <f>G65*AO65</f>
        <v>0</v>
      </c>
      <c r="AX65" s="53">
        <f>G65*AP65</f>
        <v>0</v>
      </c>
      <c r="AY65" s="54" t="s">
        <v>288</v>
      </c>
      <c r="AZ65" s="54" t="s">
        <v>289</v>
      </c>
      <c r="BA65" s="36" t="s">
        <v>282</v>
      </c>
      <c r="BC65" s="53">
        <f>AW65+AX65</f>
        <v>0</v>
      </c>
      <c r="BD65" s="53">
        <f>H65/(100-BE65)*100</f>
        <v>0</v>
      </c>
      <c r="BE65" s="53">
        <v>0</v>
      </c>
      <c r="BF65" s="53">
        <f>65</f>
        <v>65</v>
      </c>
      <c r="BH65" s="53">
        <f>G65*AO65</f>
        <v>0</v>
      </c>
      <c r="BI65" s="53">
        <f>G65*AP65</f>
        <v>0</v>
      </c>
      <c r="BJ65" s="53">
        <f>G65*H65</f>
        <v>0</v>
      </c>
      <c r="BK65" s="53"/>
      <c r="BL65" s="53">
        <v>63</v>
      </c>
      <c r="BW65" s="53">
        <v>21</v>
      </c>
      <c r="BX65" s="3" t="s">
        <v>287</v>
      </c>
    </row>
    <row r="66" spans="1:76" ht="14.4" x14ac:dyDescent="0.3">
      <c r="A66" s="1" t="s">
        <v>290</v>
      </c>
      <c r="B66" s="2" t="s">
        <v>274</v>
      </c>
      <c r="C66" s="2" t="s">
        <v>291</v>
      </c>
      <c r="D66" s="62" t="s">
        <v>292</v>
      </c>
      <c r="E66" s="63"/>
      <c r="F66" s="2" t="s">
        <v>191</v>
      </c>
      <c r="G66" s="53">
        <v>290</v>
      </c>
      <c r="H66" s="53">
        <v>0</v>
      </c>
      <c r="I66" s="53">
        <f>G66*H66</f>
        <v>0</v>
      </c>
      <c r="J66" s="54" t="s">
        <v>10</v>
      </c>
      <c r="K66" s="49"/>
      <c r="Z66" s="53">
        <f>IF(AQ66="5",BJ66,0)</f>
        <v>0</v>
      </c>
      <c r="AB66" s="53">
        <f>IF(AQ66="1",BH66,0)</f>
        <v>0</v>
      </c>
      <c r="AC66" s="53">
        <f>IF(AQ66="1",BI66,0)</f>
        <v>0</v>
      </c>
      <c r="AD66" s="53">
        <f>IF(AQ66="7",BH66,0)</f>
        <v>0</v>
      </c>
      <c r="AE66" s="53">
        <f>IF(AQ66="7",BI66,0)</f>
        <v>0</v>
      </c>
      <c r="AF66" s="53">
        <f>IF(AQ66="2",BH66,0)</f>
        <v>0</v>
      </c>
      <c r="AG66" s="53">
        <f>IF(AQ66="2",BI66,0)</f>
        <v>0</v>
      </c>
      <c r="AH66" s="53">
        <f>IF(AQ66="0",BJ66,0)</f>
        <v>0</v>
      </c>
      <c r="AI66" s="36" t="s">
        <v>274</v>
      </c>
      <c r="AJ66" s="53">
        <f>IF(AN66=0,I66,0)</f>
        <v>0</v>
      </c>
      <c r="AK66" s="53">
        <f>IF(AN66=12,I66,0)</f>
        <v>0</v>
      </c>
      <c r="AL66" s="53">
        <f>IF(AN66=21,I66,0)</f>
        <v>0</v>
      </c>
      <c r="AN66" s="53">
        <v>21</v>
      </c>
      <c r="AO66" s="53">
        <f>H66*0.706744868</f>
        <v>0</v>
      </c>
      <c r="AP66" s="53">
        <f>H66*(1-0.706744868)</f>
        <v>0</v>
      </c>
      <c r="AQ66" s="54" t="s">
        <v>121</v>
      </c>
      <c r="AV66" s="53">
        <f>AW66+AX66</f>
        <v>0</v>
      </c>
      <c r="AW66" s="53">
        <f>G66*AO66</f>
        <v>0</v>
      </c>
      <c r="AX66" s="53">
        <f>G66*AP66</f>
        <v>0</v>
      </c>
      <c r="AY66" s="54" t="s">
        <v>288</v>
      </c>
      <c r="AZ66" s="54" t="s">
        <v>289</v>
      </c>
      <c r="BA66" s="36" t="s">
        <v>282</v>
      </c>
      <c r="BC66" s="53">
        <f>AW66+AX66</f>
        <v>0</v>
      </c>
      <c r="BD66" s="53">
        <f>H66/(100-BE66)*100</f>
        <v>0</v>
      </c>
      <c r="BE66" s="53">
        <v>0</v>
      </c>
      <c r="BF66" s="53">
        <f>66</f>
        <v>66</v>
      </c>
      <c r="BH66" s="53">
        <f>G66*AO66</f>
        <v>0</v>
      </c>
      <c r="BI66" s="53">
        <f>G66*AP66</f>
        <v>0</v>
      </c>
      <c r="BJ66" s="53">
        <f>G66*H66</f>
        <v>0</v>
      </c>
      <c r="BK66" s="53"/>
      <c r="BL66" s="53">
        <v>63</v>
      </c>
      <c r="BW66" s="53">
        <v>21</v>
      </c>
      <c r="BX66" s="3" t="s">
        <v>292</v>
      </c>
    </row>
    <row r="67" spans="1:76" ht="14.4" x14ac:dyDescent="0.3">
      <c r="A67" s="50" t="s">
        <v>10</v>
      </c>
      <c r="B67" s="51" t="s">
        <v>274</v>
      </c>
      <c r="C67" s="51" t="s">
        <v>293</v>
      </c>
      <c r="D67" s="133" t="s">
        <v>294</v>
      </c>
      <c r="E67" s="134"/>
      <c r="F67" s="52" t="s">
        <v>80</v>
      </c>
      <c r="G67" s="52" t="s">
        <v>80</v>
      </c>
      <c r="H67" s="52" t="s">
        <v>80</v>
      </c>
      <c r="I67" s="28">
        <f>SUM(I68:I78)</f>
        <v>0</v>
      </c>
      <c r="J67" s="36" t="s">
        <v>10</v>
      </c>
      <c r="K67" s="49"/>
      <c r="AI67" s="36" t="s">
        <v>274</v>
      </c>
      <c r="AS67" s="28">
        <f>SUM(AJ68:AJ78)</f>
        <v>0</v>
      </c>
      <c r="AT67" s="28">
        <f>SUM(AK68:AK78)</f>
        <v>0</v>
      </c>
      <c r="AU67" s="28">
        <f>SUM(AL68:AL78)</f>
        <v>0</v>
      </c>
    </row>
    <row r="68" spans="1:76" ht="14.4" x14ac:dyDescent="0.3">
      <c r="A68" s="1" t="s">
        <v>295</v>
      </c>
      <c r="B68" s="2" t="s">
        <v>274</v>
      </c>
      <c r="C68" s="2" t="s">
        <v>296</v>
      </c>
      <c r="D68" s="62" t="s">
        <v>297</v>
      </c>
      <c r="E68" s="63"/>
      <c r="F68" s="2" t="s">
        <v>177</v>
      </c>
      <c r="G68" s="53">
        <v>637.54999999999995</v>
      </c>
      <c r="H68" s="53">
        <v>0</v>
      </c>
      <c r="I68" s="53">
        <f>G68*H68</f>
        <v>0</v>
      </c>
      <c r="J68" s="54" t="s">
        <v>141</v>
      </c>
      <c r="K68" s="49"/>
      <c r="Z68" s="53">
        <f>IF(AQ68="5",BJ68,0)</f>
        <v>0</v>
      </c>
      <c r="AB68" s="53">
        <f>IF(AQ68="1",BH68,0)</f>
        <v>0</v>
      </c>
      <c r="AC68" s="53">
        <f>IF(AQ68="1",BI68,0)</f>
        <v>0</v>
      </c>
      <c r="AD68" s="53">
        <f>IF(AQ68="7",BH68,0)</f>
        <v>0</v>
      </c>
      <c r="AE68" s="53">
        <f>IF(AQ68="7",BI68,0)</f>
        <v>0</v>
      </c>
      <c r="AF68" s="53">
        <f>IF(AQ68="2",BH68,0)</f>
        <v>0</v>
      </c>
      <c r="AG68" s="53">
        <f>IF(AQ68="2",BI68,0)</f>
        <v>0</v>
      </c>
      <c r="AH68" s="53">
        <f>IF(AQ68="0",BJ68,0)</f>
        <v>0</v>
      </c>
      <c r="AI68" s="36" t="s">
        <v>274</v>
      </c>
      <c r="AJ68" s="53">
        <f>IF(AN68=0,I68,0)</f>
        <v>0</v>
      </c>
      <c r="AK68" s="53">
        <f>IF(AN68=12,I68,0)</f>
        <v>0</v>
      </c>
      <c r="AL68" s="53">
        <f>IF(AN68=21,I68,0)</f>
        <v>0</v>
      </c>
      <c r="AN68" s="53">
        <v>21</v>
      </c>
      <c r="AO68" s="53">
        <f>H68*0.781916509</f>
        <v>0</v>
      </c>
      <c r="AP68" s="53">
        <f>H68*(1-0.781916509)</f>
        <v>0</v>
      </c>
      <c r="AQ68" s="54" t="s">
        <v>154</v>
      </c>
      <c r="AV68" s="53">
        <f>AW68+AX68</f>
        <v>0</v>
      </c>
      <c r="AW68" s="53">
        <f>G68*AO68</f>
        <v>0</v>
      </c>
      <c r="AX68" s="53">
        <f>G68*AP68</f>
        <v>0</v>
      </c>
      <c r="AY68" s="54" t="s">
        <v>298</v>
      </c>
      <c r="AZ68" s="54" t="s">
        <v>299</v>
      </c>
      <c r="BA68" s="36" t="s">
        <v>282</v>
      </c>
      <c r="BC68" s="53">
        <f>AW68+AX68</f>
        <v>0</v>
      </c>
      <c r="BD68" s="53">
        <f>H68/(100-BE68)*100</f>
        <v>0</v>
      </c>
      <c r="BE68" s="53">
        <v>0</v>
      </c>
      <c r="BF68" s="53">
        <f>68</f>
        <v>68</v>
      </c>
      <c r="BH68" s="53">
        <f>G68*AO68</f>
        <v>0</v>
      </c>
      <c r="BI68" s="53">
        <f>G68*AP68</f>
        <v>0</v>
      </c>
      <c r="BJ68" s="53">
        <f>G68*H68</f>
        <v>0</v>
      </c>
      <c r="BK68" s="53"/>
      <c r="BL68" s="53">
        <v>711</v>
      </c>
      <c r="BW68" s="53">
        <v>21</v>
      </c>
      <c r="BX68" s="3" t="s">
        <v>297</v>
      </c>
    </row>
    <row r="69" spans="1:76" ht="13.5" customHeight="1" x14ac:dyDescent="0.3">
      <c r="A69" s="55"/>
      <c r="C69" s="56" t="s">
        <v>209</v>
      </c>
      <c r="D69" s="136" t="s">
        <v>300</v>
      </c>
      <c r="E69" s="137"/>
      <c r="F69" s="137"/>
      <c r="G69" s="137"/>
      <c r="H69" s="137"/>
      <c r="I69" s="137"/>
      <c r="J69" s="137"/>
      <c r="K69" s="138"/>
    </row>
    <row r="70" spans="1:76" ht="14.4" x14ac:dyDescent="0.3">
      <c r="A70" s="1" t="s">
        <v>301</v>
      </c>
      <c r="B70" s="2" t="s">
        <v>274</v>
      </c>
      <c r="C70" s="2" t="s">
        <v>302</v>
      </c>
      <c r="D70" s="62" t="s">
        <v>303</v>
      </c>
      <c r="E70" s="63"/>
      <c r="F70" s="2" t="s">
        <v>177</v>
      </c>
      <c r="G70" s="53">
        <v>591.25</v>
      </c>
      <c r="H70" s="53">
        <v>0</v>
      </c>
      <c r="I70" s="53">
        <f>G70*H70</f>
        <v>0</v>
      </c>
      <c r="J70" s="54" t="s">
        <v>141</v>
      </c>
      <c r="K70" s="49"/>
      <c r="Z70" s="53">
        <f>IF(AQ70="5",BJ70,0)</f>
        <v>0</v>
      </c>
      <c r="AB70" s="53">
        <f>IF(AQ70="1",BH70,0)</f>
        <v>0</v>
      </c>
      <c r="AC70" s="53">
        <f>IF(AQ70="1",BI70,0)</f>
        <v>0</v>
      </c>
      <c r="AD70" s="53">
        <f>IF(AQ70="7",BH70,0)</f>
        <v>0</v>
      </c>
      <c r="AE70" s="53">
        <f>IF(AQ70="7",BI70,0)</f>
        <v>0</v>
      </c>
      <c r="AF70" s="53">
        <f>IF(AQ70="2",BH70,0)</f>
        <v>0</v>
      </c>
      <c r="AG70" s="53">
        <f>IF(AQ70="2",BI70,0)</f>
        <v>0</v>
      </c>
      <c r="AH70" s="53">
        <f>IF(AQ70="0",BJ70,0)</f>
        <v>0</v>
      </c>
      <c r="AI70" s="36" t="s">
        <v>274</v>
      </c>
      <c r="AJ70" s="53">
        <f>IF(AN70=0,I70,0)</f>
        <v>0</v>
      </c>
      <c r="AK70" s="53">
        <f>IF(AN70=12,I70,0)</f>
        <v>0</v>
      </c>
      <c r="AL70" s="53">
        <f>IF(AN70=21,I70,0)</f>
        <v>0</v>
      </c>
      <c r="AN70" s="53">
        <v>21</v>
      </c>
      <c r="AO70" s="53">
        <f>H70*0.628924051</f>
        <v>0</v>
      </c>
      <c r="AP70" s="53">
        <f>H70*(1-0.628924051)</f>
        <v>0</v>
      </c>
      <c r="AQ70" s="54" t="s">
        <v>154</v>
      </c>
      <c r="AV70" s="53">
        <f>AW70+AX70</f>
        <v>0</v>
      </c>
      <c r="AW70" s="53">
        <f>G70*AO70</f>
        <v>0</v>
      </c>
      <c r="AX70" s="53">
        <f>G70*AP70</f>
        <v>0</v>
      </c>
      <c r="AY70" s="54" t="s">
        <v>298</v>
      </c>
      <c r="AZ70" s="54" t="s">
        <v>299</v>
      </c>
      <c r="BA70" s="36" t="s">
        <v>282</v>
      </c>
      <c r="BC70" s="53">
        <f>AW70+AX70</f>
        <v>0</v>
      </c>
      <c r="BD70" s="53">
        <f>H70/(100-BE70)*100</f>
        <v>0</v>
      </c>
      <c r="BE70" s="53">
        <v>0</v>
      </c>
      <c r="BF70" s="53">
        <f>70</f>
        <v>70</v>
      </c>
      <c r="BH70" s="53">
        <f>G70*AO70</f>
        <v>0</v>
      </c>
      <c r="BI70" s="53">
        <f>G70*AP70</f>
        <v>0</v>
      </c>
      <c r="BJ70" s="53">
        <f>G70*H70</f>
        <v>0</v>
      </c>
      <c r="BK70" s="53"/>
      <c r="BL70" s="53">
        <v>711</v>
      </c>
      <c r="BW70" s="53">
        <v>21</v>
      </c>
      <c r="BX70" s="3" t="s">
        <v>303</v>
      </c>
    </row>
    <row r="71" spans="1:76" ht="14.4" x14ac:dyDescent="0.3">
      <c r="A71" s="1" t="s">
        <v>304</v>
      </c>
      <c r="B71" s="2" t="s">
        <v>274</v>
      </c>
      <c r="C71" s="2" t="s">
        <v>305</v>
      </c>
      <c r="D71" s="62" t="s">
        <v>306</v>
      </c>
      <c r="E71" s="63"/>
      <c r="F71" s="2" t="s">
        <v>177</v>
      </c>
      <c r="G71" s="53">
        <v>1401.27</v>
      </c>
      <c r="H71" s="53">
        <v>0</v>
      </c>
      <c r="I71" s="53">
        <f>G71*H71</f>
        <v>0</v>
      </c>
      <c r="J71" s="54" t="s">
        <v>141</v>
      </c>
      <c r="K71" s="49"/>
      <c r="Z71" s="53">
        <f>IF(AQ71="5",BJ71,0)</f>
        <v>0</v>
      </c>
      <c r="AB71" s="53">
        <f>IF(AQ71="1",BH71,0)</f>
        <v>0</v>
      </c>
      <c r="AC71" s="53">
        <f>IF(AQ71="1",BI71,0)</f>
        <v>0</v>
      </c>
      <c r="AD71" s="53">
        <f>IF(AQ71="7",BH71,0)</f>
        <v>0</v>
      </c>
      <c r="AE71" s="53">
        <f>IF(AQ71="7",BI71,0)</f>
        <v>0</v>
      </c>
      <c r="AF71" s="53">
        <f>IF(AQ71="2",BH71,0)</f>
        <v>0</v>
      </c>
      <c r="AG71" s="53">
        <f>IF(AQ71="2",BI71,0)</f>
        <v>0</v>
      </c>
      <c r="AH71" s="53">
        <f>IF(AQ71="0",BJ71,0)</f>
        <v>0</v>
      </c>
      <c r="AI71" s="36" t="s">
        <v>274</v>
      </c>
      <c r="AJ71" s="53">
        <f>IF(AN71=0,I71,0)</f>
        <v>0</v>
      </c>
      <c r="AK71" s="53">
        <f>IF(AN71=12,I71,0)</f>
        <v>0</v>
      </c>
      <c r="AL71" s="53">
        <f>IF(AN71=21,I71,0)</f>
        <v>0</v>
      </c>
      <c r="AN71" s="53">
        <v>21</v>
      </c>
      <c r="AO71" s="53">
        <f>H71*0.292103313</f>
        <v>0</v>
      </c>
      <c r="AP71" s="53">
        <f>H71*(1-0.292103313)</f>
        <v>0</v>
      </c>
      <c r="AQ71" s="54" t="s">
        <v>154</v>
      </c>
      <c r="AV71" s="53">
        <f>AW71+AX71</f>
        <v>0</v>
      </c>
      <c r="AW71" s="53">
        <f>G71*AO71</f>
        <v>0</v>
      </c>
      <c r="AX71" s="53">
        <f>G71*AP71</f>
        <v>0</v>
      </c>
      <c r="AY71" s="54" t="s">
        <v>298</v>
      </c>
      <c r="AZ71" s="54" t="s">
        <v>299</v>
      </c>
      <c r="BA71" s="36" t="s">
        <v>282</v>
      </c>
      <c r="BC71" s="53">
        <f>AW71+AX71</f>
        <v>0</v>
      </c>
      <c r="BD71" s="53">
        <f>H71/(100-BE71)*100</f>
        <v>0</v>
      </c>
      <c r="BE71" s="53">
        <v>0</v>
      </c>
      <c r="BF71" s="53">
        <f>71</f>
        <v>71</v>
      </c>
      <c r="BH71" s="53">
        <f>G71*AO71</f>
        <v>0</v>
      </c>
      <c r="BI71" s="53">
        <f>G71*AP71</f>
        <v>0</v>
      </c>
      <c r="BJ71" s="53">
        <f>G71*H71</f>
        <v>0</v>
      </c>
      <c r="BK71" s="53"/>
      <c r="BL71" s="53">
        <v>711</v>
      </c>
      <c r="BW71" s="53">
        <v>21</v>
      </c>
      <c r="BX71" s="3" t="s">
        <v>306</v>
      </c>
    </row>
    <row r="72" spans="1:76" ht="14.4" x14ac:dyDescent="0.3">
      <c r="A72" s="1" t="s">
        <v>307</v>
      </c>
      <c r="B72" s="2" t="s">
        <v>274</v>
      </c>
      <c r="C72" s="2" t="s">
        <v>308</v>
      </c>
      <c r="D72" s="62" t="s">
        <v>309</v>
      </c>
      <c r="E72" s="63"/>
      <c r="F72" s="2" t="s">
        <v>177</v>
      </c>
      <c r="G72" s="53">
        <v>632.64</v>
      </c>
      <c r="H72" s="53">
        <v>0</v>
      </c>
      <c r="I72" s="53">
        <f>G72*H72</f>
        <v>0</v>
      </c>
      <c r="J72" s="54" t="s">
        <v>10</v>
      </c>
      <c r="K72" s="49"/>
      <c r="Z72" s="53">
        <f>IF(AQ72="5",BJ72,0)</f>
        <v>0</v>
      </c>
      <c r="AB72" s="53">
        <f>IF(AQ72="1",BH72,0)</f>
        <v>0</v>
      </c>
      <c r="AC72" s="53">
        <f>IF(AQ72="1",BI72,0)</f>
        <v>0</v>
      </c>
      <c r="AD72" s="53">
        <f>IF(AQ72="7",BH72,0)</f>
        <v>0</v>
      </c>
      <c r="AE72" s="53">
        <f>IF(AQ72="7",BI72,0)</f>
        <v>0</v>
      </c>
      <c r="AF72" s="53">
        <f>IF(AQ72="2",BH72,0)</f>
        <v>0</v>
      </c>
      <c r="AG72" s="53">
        <f>IF(AQ72="2",BI72,0)</f>
        <v>0</v>
      </c>
      <c r="AH72" s="53">
        <f>IF(AQ72="0",BJ72,0)</f>
        <v>0</v>
      </c>
      <c r="AI72" s="36" t="s">
        <v>274</v>
      </c>
      <c r="AJ72" s="53">
        <f>IF(AN72=0,I72,0)</f>
        <v>0</v>
      </c>
      <c r="AK72" s="53">
        <f>IF(AN72=12,I72,0)</f>
        <v>0</v>
      </c>
      <c r="AL72" s="53">
        <f>IF(AN72=21,I72,0)</f>
        <v>0</v>
      </c>
      <c r="AN72" s="53">
        <v>21</v>
      </c>
      <c r="AO72" s="53">
        <f>H72*0.619156687</f>
        <v>0</v>
      </c>
      <c r="AP72" s="53">
        <f>H72*(1-0.619156687)</f>
        <v>0</v>
      </c>
      <c r="AQ72" s="54" t="s">
        <v>154</v>
      </c>
      <c r="AV72" s="53">
        <f>AW72+AX72</f>
        <v>0</v>
      </c>
      <c r="AW72" s="53">
        <f>G72*AO72</f>
        <v>0</v>
      </c>
      <c r="AX72" s="53">
        <f>G72*AP72</f>
        <v>0</v>
      </c>
      <c r="AY72" s="54" t="s">
        <v>298</v>
      </c>
      <c r="AZ72" s="54" t="s">
        <v>299</v>
      </c>
      <c r="BA72" s="36" t="s">
        <v>282</v>
      </c>
      <c r="BC72" s="53">
        <f>AW72+AX72</f>
        <v>0</v>
      </c>
      <c r="BD72" s="53">
        <f>H72/(100-BE72)*100</f>
        <v>0</v>
      </c>
      <c r="BE72" s="53">
        <v>0</v>
      </c>
      <c r="BF72" s="53">
        <f>72</f>
        <v>72</v>
      </c>
      <c r="BH72" s="53">
        <f>G72*AO72</f>
        <v>0</v>
      </c>
      <c r="BI72" s="53">
        <f>G72*AP72</f>
        <v>0</v>
      </c>
      <c r="BJ72" s="53">
        <f>G72*H72</f>
        <v>0</v>
      </c>
      <c r="BK72" s="53"/>
      <c r="BL72" s="53">
        <v>711</v>
      </c>
      <c r="BW72" s="53">
        <v>21</v>
      </c>
      <c r="BX72" s="3" t="s">
        <v>309</v>
      </c>
    </row>
    <row r="73" spans="1:76" ht="14.4" x14ac:dyDescent="0.3">
      <c r="A73" s="1" t="s">
        <v>310</v>
      </c>
      <c r="B73" s="2" t="s">
        <v>274</v>
      </c>
      <c r="C73" s="2" t="s">
        <v>311</v>
      </c>
      <c r="D73" s="62" t="s">
        <v>312</v>
      </c>
      <c r="E73" s="63"/>
      <c r="F73" s="2" t="s">
        <v>177</v>
      </c>
      <c r="G73" s="53">
        <v>754.55</v>
      </c>
      <c r="H73" s="53">
        <v>0</v>
      </c>
      <c r="I73" s="53">
        <f>G73*H73</f>
        <v>0</v>
      </c>
      <c r="J73" s="54" t="s">
        <v>141</v>
      </c>
      <c r="K73" s="49"/>
      <c r="Z73" s="53">
        <f>IF(AQ73="5",BJ73,0)</f>
        <v>0</v>
      </c>
      <c r="AB73" s="53">
        <f>IF(AQ73="1",BH73,0)</f>
        <v>0</v>
      </c>
      <c r="AC73" s="53">
        <f>IF(AQ73="1",BI73,0)</f>
        <v>0</v>
      </c>
      <c r="AD73" s="53">
        <f>IF(AQ73="7",BH73,0)</f>
        <v>0</v>
      </c>
      <c r="AE73" s="53">
        <f>IF(AQ73="7",BI73,0)</f>
        <v>0</v>
      </c>
      <c r="AF73" s="53">
        <f>IF(AQ73="2",BH73,0)</f>
        <v>0</v>
      </c>
      <c r="AG73" s="53">
        <f>IF(AQ73="2",BI73,0)</f>
        <v>0</v>
      </c>
      <c r="AH73" s="53">
        <f>IF(AQ73="0",BJ73,0)</f>
        <v>0</v>
      </c>
      <c r="AI73" s="36" t="s">
        <v>274</v>
      </c>
      <c r="AJ73" s="53">
        <f>IF(AN73=0,I73,0)</f>
        <v>0</v>
      </c>
      <c r="AK73" s="53">
        <f>IF(AN73=12,I73,0)</f>
        <v>0</v>
      </c>
      <c r="AL73" s="53">
        <f>IF(AN73=21,I73,0)</f>
        <v>0</v>
      </c>
      <c r="AN73" s="53">
        <v>21</v>
      </c>
      <c r="AO73" s="53">
        <f>H73*0.68980088</f>
        <v>0</v>
      </c>
      <c r="AP73" s="53">
        <f>H73*(1-0.68980088)</f>
        <v>0</v>
      </c>
      <c r="AQ73" s="54" t="s">
        <v>154</v>
      </c>
      <c r="AV73" s="53">
        <f>AW73+AX73</f>
        <v>0</v>
      </c>
      <c r="AW73" s="53">
        <f>G73*AO73</f>
        <v>0</v>
      </c>
      <c r="AX73" s="53">
        <f>G73*AP73</f>
        <v>0</v>
      </c>
      <c r="AY73" s="54" t="s">
        <v>298</v>
      </c>
      <c r="AZ73" s="54" t="s">
        <v>299</v>
      </c>
      <c r="BA73" s="36" t="s">
        <v>282</v>
      </c>
      <c r="BC73" s="53">
        <f>AW73+AX73</f>
        <v>0</v>
      </c>
      <c r="BD73" s="53">
        <f>H73/(100-BE73)*100</f>
        <v>0</v>
      </c>
      <c r="BE73" s="53">
        <v>0</v>
      </c>
      <c r="BF73" s="53">
        <f>73</f>
        <v>73</v>
      </c>
      <c r="BH73" s="53">
        <f>G73*AO73</f>
        <v>0</v>
      </c>
      <c r="BI73" s="53">
        <f>G73*AP73</f>
        <v>0</v>
      </c>
      <c r="BJ73" s="53">
        <f>G73*H73</f>
        <v>0</v>
      </c>
      <c r="BK73" s="53"/>
      <c r="BL73" s="53">
        <v>711</v>
      </c>
      <c r="BW73" s="53">
        <v>21</v>
      </c>
      <c r="BX73" s="3" t="s">
        <v>312</v>
      </c>
    </row>
    <row r="74" spans="1:76" ht="14.4" x14ac:dyDescent="0.3">
      <c r="A74" s="1" t="s">
        <v>313</v>
      </c>
      <c r="B74" s="2" t="s">
        <v>274</v>
      </c>
      <c r="C74" s="2" t="s">
        <v>314</v>
      </c>
      <c r="D74" s="62" t="s">
        <v>315</v>
      </c>
      <c r="E74" s="63"/>
      <c r="F74" s="2" t="s">
        <v>177</v>
      </c>
      <c r="G74" s="53">
        <v>117</v>
      </c>
      <c r="H74" s="53">
        <v>0</v>
      </c>
      <c r="I74" s="53">
        <f>G74*H74</f>
        <v>0</v>
      </c>
      <c r="J74" s="54" t="s">
        <v>141</v>
      </c>
      <c r="K74" s="49"/>
      <c r="Z74" s="53">
        <f>IF(AQ74="5",BJ74,0)</f>
        <v>0</v>
      </c>
      <c r="AB74" s="53">
        <f>IF(AQ74="1",BH74,0)</f>
        <v>0</v>
      </c>
      <c r="AC74" s="53">
        <f>IF(AQ74="1",BI74,0)</f>
        <v>0</v>
      </c>
      <c r="AD74" s="53">
        <f>IF(AQ74="7",BH74,0)</f>
        <v>0</v>
      </c>
      <c r="AE74" s="53">
        <f>IF(AQ74="7",BI74,0)</f>
        <v>0</v>
      </c>
      <c r="AF74" s="53">
        <f>IF(AQ74="2",BH74,0)</f>
        <v>0</v>
      </c>
      <c r="AG74" s="53">
        <f>IF(AQ74="2",BI74,0)</f>
        <v>0</v>
      </c>
      <c r="AH74" s="53">
        <f>IF(AQ74="0",BJ74,0)</f>
        <v>0</v>
      </c>
      <c r="AI74" s="36" t="s">
        <v>274</v>
      </c>
      <c r="AJ74" s="53">
        <f>IF(AN74=0,I74,0)</f>
        <v>0</v>
      </c>
      <c r="AK74" s="53">
        <f>IF(AN74=12,I74,0)</f>
        <v>0</v>
      </c>
      <c r="AL74" s="53">
        <f>IF(AN74=21,I74,0)</f>
        <v>0</v>
      </c>
      <c r="AN74" s="53">
        <v>21</v>
      </c>
      <c r="AO74" s="53">
        <f>H74*0.766155203</f>
        <v>0</v>
      </c>
      <c r="AP74" s="53">
        <f>H74*(1-0.766155203)</f>
        <v>0</v>
      </c>
      <c r="AQ74" s="54" t="s">
        <v>154</v>
      </c>
      <c r="AV74" s="53">
        <f>AW74+AX74</f>
        <v>0</v>
      </c>
      <c r="AW74" s="53">
        <f>G74*AO74</f>
        <v>0</v>
      </c>
      <c r="AX74" s="53">
        <f>G74*AP74</f>
        <v>0</v>
      </c>
      <c r="AY74" s="54" t="s">
        <v>298</v>
      </c>
      <c r="AZ74" s="54" t="s">
        <v>299</v>
      </c>
      <c r="BA74" s="36" t="s">
        <v>282</v>
      </c>
      <c r="BC74" s="53">
        <f>AW74+AX74</f>
        <v>0</v>
      </c>
      <c r="BD74" s="53">
        <f>H74/(100-BE74)*100</f>
        <v>0</v>
      </c>
      <c r="BE74" s="53">
        <v>0</v>
      </c>
      <c r="BF74" s="53">
        <f>74</f>
        <v>74</v>
      </c>
      <c r="BH74" s="53">
        <f>G74*AO74</f>
        <v>0</v>
      </c>
      <c r="BI74" s="53">
        <f>G74*AP74</f>
        <v>0</v>
      </c>
      <c r="BJ74" s="53">
        <f>G74*H74</f>
        <v>0</v>
      </c>
      <c r="BK74" s="53"/>
      <c r="BL74" s="53">
        <v>711</v>
      </c>
      <c r="BW74" s="53">
        <v>21</v>
      </c>
      <c r="BX74" s="3" t="s">
        <v>315</v>
      </c>
    </row>
    <row r="75" spans="1:76" ht="13.5" customHeight="1" x14ac:dyDescent="0.3">
      <c r="A75" s="55"/>
      <c r="C75" s="56" t="s">
        <v>209</v>
      </c>
      <c r="D75" s="136" t="s">
        <v>300</v>
      </c>
      <c r="E75" s="137"/>
      <c r="F75" s="137"/>
      <c r="G75" s="137"/>
      <c r="H75" s="137"/>
      <c r="I75" s="137"/>
      <c r="J75" s="137"/>
      <c r="K75" s="138"/>
    </row>
    <row r="76" spans="1:76" ht="14.4" x14ac:dyDescent="0.3">
      <c r="A76" s="1" t="s">
        <v>316</v>
      </c>
      <c r="B76" s="2" t="s">
        <v>274</v>
      </c>
      <c r="C76" s="2" t="s">
        <v>317</v>
      </c>
      <c r="D76" s="62" t="s">
        <v>318</v>
      </c>
      <c r="E76" s="63"/>
      <c r="F76" s="2" t="s">
        <v>177</v>
      </c>
      <c r="G76" s="53">
        <v>754</v>
      </c>
      <c r="H76" s="53">
        <v>0</v>
      </c>
      <c r="I76" s="53">
        <f>G76*H76</f>
        <v>0</v>
      </c>
      <c r="J76" s="54" t="s">
        <v>141</v>
      </c>
      <c r="K76" s="49"/>
      <c r="Z76" s="53">
        <f>IF(AQ76="5",BJ76,0)</f>
        <v>0</v>
      </c>
      <c r="AB76" s="53">
        <f>IF(AQ76="1",BH76,0)</f>
        <v>0</v>
      </c>
      <c r="AC76" s="53">
        <f>IF(AQ76="1",BI76,0)</f>
        <v>0</v>
      </c>
      <c r="AD76" s="53">
        <f>IF(AQ76="7",BH76,0)</f>
        <v>0</v>
      </c>
      <c r="AE76" s="53">
        <f>IF(AQ76="7",BI76,0)</f>
        <v>0</v>
      </c>
      <c r="AF76" s="53">
        <f>IF(AQ76="2",BH76,0)</f>
        <v>0</v>
      </c>
      <c r="AG76" s="53">
        <f>IF(AQ76="2",BI76,0)</f>
        <v>0</v>
      </c>
      <c r="AH76" s="53">
        <f>IF(AQ76="0",BJ76,0)</f>
        <v>0</v>
      </c>
      <c r="AI76" s="36" t="s">
        <v>274</v>
      </c>
      <c r="AJ76" s="53">
        <f>IF(AN76=0,I76,0)</f>
        <v>0</v>
      </c>
      <c r="AK76" s="53">
        <f>IF(AN76=12,I76,0)</f>
        <v>0</v>
      </c>
      <c r="AL76" s="53">
        <f>IF(AN76=21,I76,0)</f>
        <v>0</v>
      </c>
      <c r="AN76" s="53">
        <v>21</v>
      </c>
      <c r="AO76" s="53">
        <f>H76*0.660501066</f>
        <v>0</v>
      </c>
      <c r="AP76" s="53">
        <f>H76*(1-0.660501066)</f>
        <v>0</v>
      </c>
      <c r="AQ76" s="54" t="s">
        <v>154</v>
      </c>
      <c r="AV76" s="53">
        <f>AW76+AX76</f>
        <v>0</v>
      </c>
      <c r="AW76" s="53">
        <f>G76*AO76</f>
        <v>0</v>
      </c>
      <c r="AX76" s="53">
        <f>G76*AP76</f>
        <v>0</v>
      </c>
      <c r="AY76" s="54" t="s">
        <v>298</v>
      </c>
      <c r="AZ76" s="54" t="s">
        <v>299</v>
      </c>
      <c r="BA76" s="36" t="s">
        <v>282</v>
      </c>
      <c r="BC76" s="53">
        <f>AW76+AX76</f>
        <v>0</v>
      </c>
      <c r="BD76" s="53">
        <f>H76/(100-BE76)*100</f>
        <v>0</v>
      </c>
      <c r="BE76" s="53">
        <v>0</v>
      </c>
      <c r="BF76" s="53">
        <f>76</f>
        <v>76</v>
      </c>
      <c r="BH76" s="53">
        <f>G76*AO76</f>
        <v>0</v>
      </c>
      <c r="BI76" s="53">
        <f>G76*AP76</f>
        <v>0</v>
      </c>
      <c r="BJ76" s="53">
        <f>G76*H76</f>
        <v>0</v>
      </c>
      <c r="BK76" s="53"/>
      <c r="BL76" s="53">
        <v>711</v>
      </c>
      <c r="BW76" s="53">
        <v>21</v>
      </c>
      <c r="BX76" s="3" t="s">
        <v>318</v>
      </c>
    </row>
    <row r="77" spans="1:76" ht="14.4" x14ac:dyDescent="0.3">
      <c r="A77" s="1" t="s">
        <v>319</v>
      </c>
      <c r="B77" s="2" t="s">
        <v>274</v>
      </c>
      <c r="C77" s="2" t="s">
        <v>320</v>
      </c>
      <c r="D77" s="62" t="s">
        <v>321</v>
      </c>
      <c r="E77" s="63"/>
      <c r="F77" s="2" t="s">
        <v>177</v>
      </c>
      <c r="G77" s="53">
        <v>754</v>
      </c>
      <c r="H77" s="53">
        <v>0</v>
      </c>
      <c r="I77" s="53">
        <f>G77*H77</f>
        <v>0</v>
      </c>
      <c r="J77" s="54" t="s">
        <v>149</v>
      </c>
      <c r="K77" s="49"/>
      <c r="Z77" s="53">
        <f>IF(AQ77="5",BJ77,0)</f>
        <v>0</v>
      </c>
      <c r="AB77" s="53">
        <f>IF(AQ77="1",BH77,0)</f>
        <v>0</v>
      </c>
      <c r="AC77" s="53">
        <f>IF(AQ77="1",BI77,0)</f>
        <v>0</v>
      </c>
      <c r="AD77" s="53">
        <f>IF(AQ77="7",BH77,0)</f>
        <v>0</v>
      </c>
      <c r="AE77" s="53">
        <f>IF(AQ77="7",BI77,0)</f>
        <v>0</v>
      </c>
      <c r="AF77" s="53">
        <f>IF(AQ77="2",BH77,0)</f>
        <v>0</v>
      </c>
      <c r="AG77" s="53">
        <f>IF(AQ77="2",BI77,0)</f>
        <v>0</v>
      </c>
      <c r="AH77" s="53">
        <f>IF(AQ77="0",BJ77,0)</f>
        <v>0</v>
      </c>
      <c r="AI77" s="36" t="s">
        <v>274</v>
      </c>
      <c r="AJ77" s="53">
        <f>IF(AN77=0,I77,0)</f>
        <v>0</v>
      </c>
      <c r="AK77" s="53">
        <f>IF(AN77=12,I77,0)</f>
        <v>0</v>
      </c>
      <c r="AL77" s="53">
        <f>IF(AN77=21,I77,0)</f>
        <v>0</v>
      </c>
      <c r="AN77" s="53">
        <v>21</v>
      </c>
      <c r="AO77" s="53">
        <f>H77*0</f>
        <v>0</v>
      </c>
      <c r="AP77" s="53">
        <f>H77*(1-0)</f>
        <v>0</v>
      </c>
      <c r="AQ77" s="54" t="s">
        <v>154</v>
      </c>
      <c r="AV77" s="53">
        <f>AW77+AX77</f>
        <v>0</v>
      </c>
      <c r="AW77" s="53">
        <f>G77*AO77</f>
        <v>0</v>
      </c>
      <c r="AX77" s="53">
        <f>G77*AP77</f>
        <v>0</v>
      </c>
      <c r="AY77" s="54" t="s">
        <v>298</v>
      </c>
      <c r="AZ77" s="54" t="s">
        <v>299</v>
      </c>
      <c r="BA77" s="36" t="s">
        <v>282</v>
      </c>
      <c r="BC77" s="53">
        <f>AW77+AX77</f>
        <v>0</v>
      </c>
      <c r="BD77" s="53">
        <f>H77/(100-BE77)*100</f>
        <v>0</v>
      </c>
      <c r="BE77" s="53">
        <v>0</v>
      </c>
      <c r="BF77" s="53">
        <f>77</f>
        <v>77</v>
      </c>
      <c r="BH77" s="53">
        <f>G77*AO77</f>
        <v>0</v>
      </c>
      <c r="BI77" s="53">
        <f>G77*AP77</f>
        <v>0</v>
      </c>
      <c r="BJ77" s="53">
        <f>G77*H77</f>
        <v>0</v>
      </c>
      <c r="BK77" s="53"/>
      <c r="BL77" s="53">
        <v>711</v>
      </c>
      <c r="BW77" s="53">
        <v>21</v>
      </c>
      <c r="BX77" s="3" t="s">
        <v>321</v>
      </c>
    </row>
    <row r="78" spans="1:76" ht="14.4" x14ac:dyDescent="0.3">
      <c r="A78" s="1" t="s">
        <v>322</v>
      </c>
      <c r="B78" s="2" t="s">
        <v>274</v>
      </c>
      <c r="C78" s="2" t="s">
        <v>323</v>
      </c>
      <c r="D78" s="62" t="s">
        <v>324</v>
      </c>
      <c r="E78" s="63"/>
      <c r="F78" s="2" t="s">
        <v>63</v>
      </c>
      <c r="G78" s="53">
        <v>9.0168400000000002</v>
      </c>
      <c r="H78" s="53">
        <v>0</v>
      </c>
      <c r="I78" s="53">
        <f>G78*H78</f>
        <v>0</v>
      </c>
      <c r="J78" s="54" t="s">
        <v>141</v>
      </c>
      <c r="K78" s="49"/>
      <c r="Z78" s="53">
        <f>IF(AQ78="5",BJ78,0)</f>
        <v>0</v>
      </c>
      <c r="AB78" s="53">
        <f>IF(AQ78="1",BH78,0)</f>
        <v>0</v>
      </c>
      <c r="AC78" s="53">
        <f>IF(AQ78="1",BI78,0)</f>
        <v>0</v>
      </c>
      <c r="AD78" s="53">
        <f>IF(AQ78="7",BH78,0)</f>
        <v>0</v>
      </c>
      <c r="AE78" s="53">
        <f>IF(AQ78="7",BI78,0)</f>
        <v>0</v>
      </c>
      <c r="AF78" s="53">
        <f>IF(AQ78="2",BH78,0)</f>
        <v>0</v>
      </c>
      <c r="AG78" s="53">
        <f>IF(AQ78="2",BI78,0)</f>
        <v>0</v>
      </c>
      <c r="AH78" s="53">
        <f>IF(AQ78="0",BJ78,0)</f>
        <v>0</v>
      </c>
      <c r="AI78" s="36" t="s">
        <v>274</v>
      </c>
      <c r="AJ78" s="53">
        <f>IF(AN78=0,I78,0)</f>
        <v>0</v>
      </c>
      <c r="AK78" s="53">
        <f>IF(AN78=12,I78,0)</f>
        <v>0</v>
      </c>
      <c r="AL78" s="53">
        <f>IF(AN78=21,I78,0)</f>
        <v>0</v>
      </c>
      <c r="AN78" s="53">
        <v>21</v>
      </c>
      <c r="AO78" s="53">
        <f>H78*0</f>
        <v>0</v>
      </c>
      <c r="AP78" s="53">
        <f>H78*(1-0)</f>
        <v>0</v>
      </c>
      <c r="AQ78" s="54" t="s">
        <v>147</v>
      </c>
      <c r="AV78" s="53">
        <f>AW78+AX78</f>
        <v>0</v>
      </c>
      <c r="AW78" s="53">
        <f>G78*AO78</f>
        <v>0</v>
      </c>
      <c r="AX78" s="53">
        <f>G78*AP78</f>
        <v>0</v>
      </c>
      <c r="AY78" s="54" t="s">
        <v>298</v>
      </c>
      <c r="AZ78" s="54" t="s">
        <v>299</v>
      </c>
      <c r="BA78" s="36" t="s">
        <v>282</v>
      </c>
      <c r="BC78" s="53">
        <f>AW78+AX78</f>
        <v>0</v>
      </c>
      <c r="BD78" s="53">
        <f>H78/(100-BE78)*100</f>
        <v>0</v>
      </c>
      <c r="BE78" s="53">
        <v>0</v>
      </c>
      <c r="BF78" s="53">
        <f>78</f>
        <v>78</v>
      </c>
      <c r="BH78" s="53">
        <f>G78*AO78</f>
        <v>0</v>
      </c>
      <c r="BI78" s="53">
        <f>G78*AP78</f>
        <v>0</v>
      </c>
      <c r="BJ78" s="53">
        <f>G78*H78</f>
        <v>0</v>
      </c>
      <c r="BK78" s="53"/>
      <c r="BL78" s="53">
        <v>711</v>
      </c>
      <c r="BW78" s="53">
        <v>21</v>
      </c>
      <c r="BX78" s="3" t="s">
        <v>324</v>
      </c>
    </row>
    <row r="79" spans="1:76" ht="14.4" x14ac:dyDescent="0.3">
      <c r="A79" s="50" t="s">
        <v>10</v>
      </c>
      <c r="B79" s="51" t="s">
        <v>274</v>
      </c>
      <c r="C79" s="51" t="s">
        <v>325</v>
      </c>
      <c r="D79" s="133" t="s">
        <v>326</v>
      </c>
      <c r="E79" s="134"/>
      <c r="F79" s="52" t="s">
        <v>80</v>
      </c>
      <c r="G79" s="52" t="s">
        <v>80</v>
      </c>
      <c r="H79" s="52" t="s">
        <v>80</v>
      </c>
      <c r="I79" s="28">
        <f>SUM(I80:I80)</f>
        <v>0</v>
      </c>
      <c r="J79" s="36" t="s">
        <v>10</v>
      </c>
      <c r="K79" s="49"/>
      <c r="AI79" s="36" t="s">
        <v>274</v>
      </c>
      <c r="AS79" s="28">
        <f>SUM(AJ80:AJ80)</f>
        <v>0</v>
      </c>
      <c r="AT79" s="28">
        <f>SUM(AK80:AK80)</f>
        <v>0</v>
      </c>
      <c r="AU79" s="28">
        <f>SUM(AL80:AL80)</f>
        <v>0</v>
      </c>
    </row>
    <row r="80" spans="1:76" ht="14.4" x14ac:dyDescent="0.3">
      <c r="A80" s="1" t="s">
        <v>327</v>
      </c>
      <c r="B80" s="2" t="s">
        <v>274</v>
      </c>
      <c r="C80" s="2" t="s">
        <v>328</v>
      </c>
      <c r="D80" s="62" t="s">
        <v>329</v>
      </c>
      <c r="E80" s="63"/>
      <c r="F80" s="2" t="s">
        <v>202</v>
      </c>
      <c r="G80" s="53">
        <v>24</v>
      </c>
      <c r="H80" s="53">
        <v>0</v>
      </c>
      <c r="I80" s="53">
        <f>G80*H80</f>
        <v>0</v>
      </c>
      <c r="J80" s="54" t="s">
        <v>141</v>
      </c>
      <c r="K80" s="49"/>
      <c r="Z80" s="53">
        <f>IF(AQ80="5",BJ80,0)</f>
        <v>0</v>
      </c>
      <c r="AB80" s="53">
        <f>IF(AQ80="1",BH80,0)</f>
        <v>0</v>
      </c>
      <c r="AC80" s="53">
        <f>IF(AQ80="1",BI80,0)</f>
        <v>0</v>
      </c>
      <c r="AD80" s="53">
        <f>IF(AQ80="7",BH80,0)</f>
        <v>0</v>
      </c>
      <c r="AE80" s="53">
        <f>IF(AQ80="7",BI80,0)</f>
        <v>0</v>
      </c>
      <c r="AF80" s="53">
        <f>IF(AQ80="2",BH80,0)</f>
        <v>0</v>
      </c>
      <c r="AG80" s="53">
        <f>IF(AQ80="2",BI80,0)</f>
        <v>0</v>
      </c>
      <c r="AH80" s="53">
        <f>IF(AQ80="0",BJ80,0)</f>
        <v>0</v>
      </c>
      <c r="AI80" s="36" t="s">
        <v>274</v>
      </c>
      <c r="AJ80" s="53">
        <f>IF(AN80=0,I80,0)</f>
        <v>0</v>
      </c>
      <c r="AK80" s="53">
        <f>IF(AN80=12,I80,0)</f>
        <v>0</v>
      </c>
      <c r="AL80" s="53">
        <f>IF(AN80=21,I80,0)</f>
        <v>0</v>
      </c>
      <c r="AN80" s="53">
        <v>21</v>
      </c>
      <c r="AO80" s="53">
        <f>H80*0.79939678</f>
        <v>0</v>
      </c>
      <c r="AP80" s="53">
        <f>H80*(1-0.79939678)</f>
        <v>0</v>
      </c>
      <c r="AQ80" s="54" t="s">
        <v>154</v>
      </c>
      <c r="AV80" s="53">
        <f>AW80+AX80</f>
        <v>0</v>
      </c>
      <c r="AW80" s="53">
        <f>G80*AO80</f>
        <v>0</v>
      </c>
      <c r="AX80" s="53">
        <f>G80*AP80</f>
        <v>0</v>
      </c>
      <c r="AY80" s="54" t="s">
        <v>330</v>
      </c>
      <c r="AZ80" s="54" t="s">
        <v>299</v>
      </c>
      <c r="BA80" s="36" t="s">
        <v>282</v>
      </c>
      <c r="BC80" s="53">
        <f>AW80+AX80</f>
        <v>0</v>
      </c>
      <c r="BD80" s="53">
        <f>H80/(100-BE80)*100</f>
        <v>0</v>
      </c>
      <c r="BE80" s="53">
        <v>0</v>
      </c>
      <c r="BF80" s="53">
        <f>80</f>
        <v>80</v>
      </c>
      <c r="BH80" s="53">
        <f>G80*AO80</f>
        <v>0</v>
      </c>
      <c r="BI80" s="53">
        <f>G80*AP80</f>
        <v>0</v>
      </c>
      <c r="BJ80" s="53">
        <f>G80*H80</f>
        <v>0</v>
      </c>
      <c r="BK80" s="53"/>
      <c r="BL80" s="53">
        <v>712</v>
      </c>
      <c r="BW80" s="53">
        <v>21</v>
      </c>
      <c r="BX80" s="3" t="s">
        <v>329</v>
      </c>
    </row>
    <row r="81" spans="1:76" ht="14.4" x14ac:dyDescent="0.3">
      <c r="A81" s="50" t="s">
        <v>10</v>
      </c>
      <c r="B81" s="51" t="s">
        <v>274</v>
      </c>
      <c r="C81" s="51" t="s">
        <v>331</v>
      </c>
      <c r="D81" s="133" t="s">
        <v>332</v>
      </c>
      <c r="E81" s="134"/>
      <c r="F81" s="52" t="s">
        <v>80</v>
      </c>
      <c r="G81" s="52" t="s">
        <v>80</v>
      </c>
      <c r="H81" s="52" t="s">
        <v>80</v>
      </c>
      <c r="I81" s="28">
        <f>SUM(I82:I89)</f>
        <v>0</v>
      </c>
      <c r="J81" s="36" t="s">
        <v>10</v>
      </c>
      <c r="K81" s="49"/>
      <c r="AI81" s="36" t="s">
        <v>274</v>
      </c>
      <c r="AS81" s="28">
        <f>SUM(AJ82:AJ89)</f>
        <v>0</v>
      </c>
      <c r="AT81" s="28">
        <f>SUM(AK82:AK89)</f>
        <v>0</v>
      </c>
      <c r="AU81" s="28">
        <f>SUM(AL82:AL89)</f>
        <v>0</v>
      </c>
    </row>
    <row r="82" spans="1:76" ht="14.4" x14ac:dyDescent="0.3">
      <c r="A82" s="1" t="s">
        <v>333</v>
      </c>
      <c r="B82" s="2" t="s">
        <v>274</v>
      </c>
      <c r="C82" s="2" t="s">
        <v>334</v>
      </c>
      <c r="D82" s="62" t="s">
        <v>335</v>
      </c>
      <c r="E82" s="63"/>
      <c r="F82" s="2" t="s">
        <v>177</v>
      </c>
      <c r="G82" s="53">
        <v>591.25</v>
      </c>
      <c r="H82" s="53">
        <v>0</v>
      </c>
      <c r="I82" s="53">
        <f t="shared" ref="I82:I89" si="22">G82*H82</f>
        <v>0</v>
      </c>
      <c r="J82" s="54" t="s">
        <v>141</v>
      </c>
      <c r="K82" s="49"/>
      <c r="Z82" s="53">
        <f t="shared" ref="Z82:Z89" si="23">IF(AQ82="5",BJ82,0)</f>
        <v>0</v>
      </c>
      <c r="AB82" s="53">
        <f t="shared" ref="AB82:AB89" si="24">IF(AQ82="1",BH82,0)</f>
        <v>0</v>
      </c>
      <c r="AC82" s="53">
        <f t="shared" ref="AC82:AC89" si="25">IF(AQ82="1",BI82,0)</f>
        <v>0</v>
      </c>
      <c r="AD82" s="53">
        <f t="shared" ref="AD82:AD89" si="26">IF(AQ82="7",BH82,0)</f>
        <v>0</v>
      </c>
      <c r="AE82" s="53">
        <f t="shared" ref="AE82:AE89" si="27">IF(AQ82="7",BI82,0)</f>
        <v>0</v>
      </c>
      <c r="AF82" s="53">
        <f t="shared" ref="AF82:AF89" si="28">IF(AQ82="2",BH82,0)</f>
        <v>0</v>
      </c>
      <c r="AG82" s="53">
        <f t="shared" ref="AG82:AG89" si="29">IF(AQ82="2",BI82,0)</f>
        <v>0</v>
      </c>
      <c r="AH82" s="53">
        <f t="shared" ref="AH82:AH89" si="30">IF(AQ82="0",BJ82,0)</f>
        <v>0</v>
      </c>
      <c r="AI82" s="36" t="s">
        <v>274</v>
      </c>
      <c r="AJ82" s="53">
        <f t="shared" ref="AJ82:AJ89" si="31">IF(AN82=0,I82,0)</f>
        <v>0</v>
      </c>
      <c r="AK82" s="53">
        <f t="shared" ref="AK82:AK89" si="32">IF(AN82=12,I82,0)</f>
        <v>0</v>
      </c>
      <c r="AL82" s="53">
        <f t="shared" ref="AL82:AL89" si="33">IF(AN82=21,I82,0)</f>
        <v>0</v>
      </c>
      <c r="AN82" s="53">
        <v>21</v>
      </c>
      <c r="AO82" s="53">
        <f>H82*0.491975052</f>
        <v>0</v>
      </c>
      <c r="AP82" s="53">
        <f>H82*(1-0.491975052)</f>
        <v>0</v>
      </c>
      <c r="AQ82" s="54" t="s">
        <v>154</v>
      </c>
      <c r="AV82" s="53">
        <f t="shared" ref="AV82:AV89" si="34">AW82+AX82</f>
        <v>0</v>
      </c>
      <c r="AW82" s="53">
        <f t="shared" ref="AW82:AW89" si="35">G82*AO82</f>
        <v>0</v>
      </c>
      <c r="AX82" s="53">
        <f t="shared" ref="AX82:AX89" si="36">G82*AP82</f>
        <v>0</v>
      </c>
      <c r="AY82" s="54" t="s">
        <v>336</v>
      </c>
      <c r="AZ82" s="54" t="s">
        <v>299</v>
      </c>
      <c r="BA82" s="36" t="s">
        <v>282</v>
      </c>
      <c r="BC82" s="53">
        <f t="shared" ref="BC82:BC89" si="37">AW82+AX82</f>
        <v>0</v>
      </c>
      <c r="BD82" s="53">
        <f t="shared" ref="BD82:BD89" si="38">H82/(100-BE82)*100</f>
        <v>0</v>
      </c>
      <c r="BE82" s="53">
        <v>0</v>
      </c>
      <c r="BF82" s="53">
        <f>82</f>
        <v>82</v>
      </c>
      <c r="BH82" s="53">
        <f t="shared" ref="BH82:BH89" si="39">G82*AO82</f>
        <v>0</v>
      </c>
      <c r="BI82" s="53">
        <f t="shared" ref="BI82:BI89" si="40">G82*AP82</f>
        <v>0</v>
      </c>
      <c r="BJ82" s="53">
        <f t="shared" ref="BJ82:BJ89" si="41">G82*H82</f>
        <v>0</v>
      </c>
      <c r="BK82" s="53"/>
      <c r="BL82" s="53">
        <v>713</v>
      </c>
      <c r="BW82" s="53">
        <v>21</v>
      </c>
      <c r="BX82" s="3" t="s">
        <v>335</v>
      </c>
    </row>
    <row r="83" spans="1:76" ht="14.4" x14ac:dyDescent="0.3">
      <c r="A83" s="1" t="s">
        <v>337</v>
      </c>
      <c r="B83" s="2" t="s">
        <v>274</v>
      </c>
      <c r="C83" s="2" t="s">
        <v>338</v>
      </c>
      <c r="D83" s="62" t="s">
        <v>339</v>
      </c>
      <c r="E83" s="63"/>
      <c r="F83" s="2" t="s">
        <v>198</v>
      </c>
      <c r="G83" s="53">
        <v>130</v>
      </c>
      <c r="H83" s="53">
        <v>0</v>
      </c>
      <c r="I83" s="53">
        <f t="shared" si="22"/>
        <v>0</v>
      </c>
      <c r="J83" s="54" t="s">
        <v>141</v>
      </c>
      <c r="K83" s="49"/>
      <c r="Z83" s="53">
        <f t="shared" si="23"/>
        <v>0</v>
      </c>
      <c r="AB83" s="53">
        <f t="shared" si="24"/>
        <v>0</v>
      </c>
      <c r="AC83" s="53">
        <f t="shared" si="25"/>
        <v>0</v>
      </c>
      <c r="AD83" s="53">
        <f t="shared" si="26"/>
        <v>0</v>
      </c>
      <c r="AE83" s="53">
        <f t="shared" si="27"/>
        <v>0</v>
      </c>
      <c r="AF83" s="53">
        <f t="shared" si="28"/>
        <v>0</v>
      </c>
      <c r="AG83" s="53">
        <f t="shared" si="29"/>
        <v>0</v>
      </c>
      <c r="AH83" s="53">
        <f t="shared" si="30"/>
        <v>0</v>
      </c>
      <c r="AI83" s="36" t="s">
        <v>274</v>
      </c>
      <c r="AJ83" s="53">
        <f t="shared" si="31"/>
        <v>0</v>
      </c>
      <c r="AK83" s="53">
        <f t="shared" si="32"/>
        <v>0</v>
      </c>
      <c r="AL83" s="53">
        <f t="shared" si="33"/>
        <v>0</v>
      </c>
      <c r="AN83" s="53">
        <v>21</v>
      </c>
      <c r="AO83" s="53">
        <f>H83*1</f>
        <v>0</v>
      </c>
      <c r="AP83" s="53">
        <f>H83*(1-1)</f>
        <v>0</v>
      </c>
      <c r="AQ83" s="54" t="s">
        <v>154</v>
      </c>
      <c r="AV83" s="53">
        <f t="shared" si="34"/>
        <v>0</v>
      </c>
      <c r="AW83" s="53">
        <f t="shared" si="35"/>
        <v>0</v>
      </c>
      <c r="AX83" s="53">
        <f t="shared" si="36"/>
        <v>0</v>
      </c>
      <c r="AY83" s="54" t="s">
        <v>336</v>
      </c>
      <c r="AZ83" s="54" t="s">
        <v>299</v>
      </c>
      <c r="BA83" s="36" t="s">
        <v>282</v>
      </c>
      <c r="BC83" s="53">
        <f t="shared" si="37"/>
        <v>0</v>
      </c>
      <c r="BD83" s="53">
        <f t="shared" si="38"/>
        <v>0</v>
      </c>
      <c r="BE83" s="53">
        <v>0</v>
      </c>
      <c r="BF83" s="53">
        <f>83</f>
        <v>83</v>
      </c>
      <c r="BH83" s="53">
        <f t="shared" si="39"/>
        <v>0</v>
      </c>
      <c r="BI83" s="53">
        <f t="shared" si="40"/>
        <v>0</v>
      </c>
      <c r="BJ83" s="53">
        <f t="shared" si="41"/>
        <v>0</v>
      </c>
      <c r="BK83" s="53"/>
      <c r="BL83" s="53">
        <v>713</v>
      </c>
      <c r="BW83" s="53">
        <v>21</v>
      </c>
      <c r="BX83" s="3" t="s">
        <v>339</v>
      </c>
    </row>
    <row r="84" spans="1:76" ht="14.4" x14ac:dyDescent="0.3">
      <c r="A84" s="1" t="s">
        <v>340</v>
      </c>
      <c r="B84" s="2" t="s">
        <v>274</v>
      </c>
      <c r="C84" s="2" t="s">
        <v>341</v>
      </c>
      <c r="D84" s="62" t="s">
        <v>342</v>
      </c>
      <c r="E84" s="63"/>
      <c r="F84" s="2" t="s">
        <v>177</v>
      </c>
      <c r="G84" s="53">
        <v>591.25</v>
      </c>
      <c r="H84" s="53">
        <v>0</v>
      </c>
      <c r="I84" s="53">
        <f t="shared" si="22"/>
        <v>0</v>
      </c>
      <c r="J84" s="54" t="s">
        <v>141</v>
      </c>
      <c r="K84" s="49"/>
      <c r="Z84" s="53">
        <f t="shared" si="23"/>
        <v>0</v>
      </c>
      <c r="AB84" s="53">
        <f t="shared" si="24"/>
        <v>0</v>
      </c>
      <c r="AC84" s="53">
        <f t="shared" si="25"/>
        <v>0</v>
      </c>
      <c r="AD84" s="53">
        <f t="shared" si="26"/>
        <v>0</v>
      </c>
      <c r="AE84" s="53">
        <f t="shared" si="27"/>
        <v>0</v>
      </c>
      <c r="AF84" s="53">
        <f t="shared" si="28"/>
        <v>0</v>
      </c>
      <c r="AG84" s="53">
        <f t="shared" si="29"/>
        <v>0</v>
      </c>
      <c r="AH84" s="53">
        <f t="shared" si="30"/>
        <v>0</v>
      </c>
      <c r="AI84" s="36" t="s">
        <v>274</v>
      </c>
      <c r="AJ84" s="53">
        <f t="shared" si="31"/>
        <v>0</v>
      </c>
      <c r="AK84" s="53">
        <f t="shared" si="32"/>
        <v>0</v>
      </c>
      <c r="AL84" s="53">
        <f t="shared" si="33"/>
        <v>0</v>
      </c>
      <c r="AN84" s="53">
        <v>21</v>
      </c>
      <c r="AO84" s="53">
        <f>H84*1</f>
        <v>0</v>
      </c>
      <c r="AP84" s="53">
        <f>H84*(1-1)</f>
        <v>0</v>
      </c>
      <c r="AQ84" s="54" t="s">
        <v>154</v>
      </c>
      <c r="AV84" s="53">
        <f t="shared" si="34"/>
        <v>0</v>
      </c>
      <c r="AW84" s="53">
        <f t="shared" si="35"/>
        <v>0</v>
      </c>
      <c r="AX84" s="53">
        <f t="shared" si="36"/>
        <v>0</v>
      </c>
      <c r="AY84" s="54" t="s">
        <v>336</v>
      </c>
      <c r="AZ84" s="54" t="s">
        <v>299</v>
      </c>
      <c r="BA84" s="36" t="s">
        <v>282</v>
      </c>
      <c r="BC84" s="53">
        <f t="shared" si="37"/>
        <v>0</v>
      </c>
      <c r="BD84" s="53">
        <f t="shared" si="38"/>
        <v>0</v>
      </c>
      <c r="BE84" s="53">
        <v>0</v>
      </c>
      <c r="BF84" s="53">
        <f>84</f>
        <v>84</v>
      </c>
      <c r="BH84" s="53">
        <f t="shared" si="39"/>
        <v>0</v>
      </c>
      <c r="BI84" s="53">
        <f t="shared" si="40"/>
        <v>0</v>
      </c>
      <c r="BJ84" s="53">
        <f t="shared" si="41"/>
        <v>0</v>
      </c>
      <c r="BK84" s="53"/>
      <c r="BL84" s="53">
        <v>713</v>
      </c>
      <c r="BW84" s="53">
        <v>21</v>
      </c>
      <c r="BX84" s="3" t="s">
        <v>342</v>
      </c>
    </row>
    <row r="85" spans="1:76" ht="14.4" x14ac:dyDescent="0.3">
      <c r="A85" s="1" t="s">
        <v>343</v>
      </c>
      <c r="B85" s="2" t="s">
        <v>274</v>
      </c>
      <c r="C85" s="2" t="s">
        <v>344</v>
      </c>
      <c r="D85" s="62" t="s">
        <v>345</v>
      </c>
      <c r="E85" s="63"/>
      <c r="F85" s="2" t="s">
        <v>177</v>
      </c>
      <c r="G85" s="53">
        <v>591.25</v>
      </c>
      <c r="H85" s="53">
        <v>0</v>
      </c>
      <c r="I85" s="53">
        <f t="shared" si="22"/>
        <v>0</v>
      </c>
      <c r="J85" s="54" t="s">
        <v>141</v>
      </c>
      <c r="K85" s="49"/>
      <c r="Z85" s="53">
        <f t="shared" si="23"/>
        <v>0</v>
      </c>
      <c r="AB85" s="53">
        <f t="shared" si="24"/>
        <v>0</v>
      </c>
      <c r="AC85" s="53">
        <f t="shared" si="25"/>
        <v>0</v>
      </c>
      <c r="AD85" s="53">
        <f t="shared" si="26"/>
        <v>0</v>
      </c>
      <c r="AE85" s="53">
        <f t="shared" si="27"/>
        <v>0</v>
      </c>
      <c r="AF85" s="53">
        <f t="shared" si="28"/>
        <v>0</v>
      </c>
      <c r="AG85" s="53">
        <f t="shared" si="29"/>
        <v>0</v>
      </c>
      <c r="AH85" s="53">
        <f t="shared" si="30"/>
        <v>0</v>
      </c>
      <c r="AI85" s="36" t="s">
        <v>274</v>
      </c>
      <c r="AJ85" s="53">
        <f t="shared" si="31"/>
        <v>0</v>
      </c>
      <c r="AK85" s="53">
        <f t="shared" si="32"/>
        <v>0</v>
      </c>
      <c r="AL85" s="53">
        <f t="shared" si="33"/>
        <v>0</v>
      </c>
      <c r="AN85" s="53">
        <v>21</v>
      </c>
      <c r="AO85" s="53">
        <f>H85*1</f>
        <v>0</v>
      </c>
      <c r="AP85" s="53">
        <f>H85*(1-1)</f>
        <v>0</v>
      </c>
      <c r="AQ85" s="54" t="s">
        <v>154</v>
      </c>
      <c r="AV85" s="53">
        <f t="shared" si="34"/>
        <v>0</v>
      </c>
      <c r="AW85" s="53">
        <f t="shared" si="35"/>
        <v>0</v>
      </c>
      <c r="AX85" s="53">
        <f t="shared" si="36"/>
        <v>0</v>
      </c>
      <c r="AY85" s="54" t="s">
        <v>336</v>
      </c>
      <c r="AZ85" s="54" t="s">
        <v>299</v>
      </c>
      <c r="BA85" s="36" t="s">
        <v>282</v>
      </c>
      <c r="BC85" s="53">
        <f t="shared" si="37"/>
        <v>0</v>
      </c>
      <c r="BD85" s="53">
        <f t="shared" si="38"/>
        <v>0</v>
      </c>
      <c r="BE85" s="53">
        <v>0</v>
      </c>
      <c r="BF85" s="53">
        <f>85</f>
        <v>85</v>
      </c>
      <c r="BH85" s="53">
        <f t="shared" si="39"/>
        <v>0</v>
      </c>
      <c r="BI85" s="53">
        <f t="shared" si="40"/>
        <v>0</v>
      </c>
      <c r="BJ85" s="53">
        <f t="shared" si="41"/>
        <v>0</v>
      </c>
      <c r="BK85" s="53"/>
      <c r="BL85" s="53">
        <v>713</v>
      </c>
      <c r="BW85" s="53">
        <v>21</v>
      </c>
      <c r="BX85" s="3" t="s">
        <v>345</v>
      </c>
    </row>
    <row r="86" spans="1:76" ht="14.4" x14ac:dyDescent="0.3">
      <c r="A86" s="1" t="s">
        <v>346</v>
      </c>
      <c r="B86" s="2" t="s">
        <v>274</v>
      </c>
      <c r="C86" s="2" t="s">
        <v>347</v>
      </c>
      <c r="D86" s="62" t="s">
        <v>348</v>
      </c>
      <c r="E86" s="63"/>
      <c r="F86" s="2" t="s">
        <v>177</v>
      </c>
      <c r="G86" s="53">
        <v>46.3</v>
      </c>
      <c r="H86" s="53">
        <v>0</v>
      </c>
      <c r="I86" s="53">
        <f t="shared" si="22"/>
        <v>0</v>
      </c>
      <c r="J86" s="54" t="s">
        <v>141</v>
      </c>
      <c r="K86" s="49"/>
      <c r="Z86" s="53">
        <f t="shared" si="23"/>
        <v>0</v>
      </c>
      <c r="AB86" s="53">
        <f t="shared" si="24"/>
        <v>0</v>
      </c>
      <c r="AC86" s="53">
        <f t="shared" si="25"/>
        <v>0</v>
      </c>
      <c r="AD86" s="53">
        <f t="shared" si="26"/>
        <v>0</v>
      </c>
      <c r="AE86" s="53">
        <f t="shared" si="27"/>
        <v>0</v>
      </c>
      <c r="AF86" s="53">
        <f t="shared" si="28"/>
        <v>0</v>
      </c>
      <c r="AG86" s="53">
        <f t="shared" si="29"/>
        <v>0</v>
      </c>
      <c r="AH86" s="53">
        <f t="shared" si="30"/>
        <v>0</v>
      </c>
      <c r="AI86" s="36" t="s">
        <v>274</v>
      </c>
      <c r="AJ86" s="53">
        <f t="shared" si="31"/>
        <v>0</v>
      </c>
      <c r="AK86" s="53">
        <f t="shared" si="32"/>
        <v>0</v>
      </c>
      <c r="AL86" s="53">
        <f t="shared" si="33"/>
        <v>0</v>
      </c>
      <c r="AN86" s="53">
        <v>21</v>
      </c>
      <c r="AO86" s="53">
        <f>H86*0.303643216</f>
        <v>0</v>
      </c>
      <c r="AP86" s="53">
        <f>H86*(1-0.303643216)</f>
        <v>0</v>
      </c>
      <c r="AQ86" s="54" t="s">
        <v>154</v>
      </c>
      <c r="AV86" s="53">
        <f t="shared" si="34"/>
        <v>0</v>
      </c>
      <c r="AW86" s="53">
        <f t="shared" si="35"/>
        <v>0</v>
      </c>
      <c r="AX86" s="53">
        <f t="shared" si="36"/>
        <v>0</v>
      </c>
      <c r="AY86" s="54" t="s">
        <v>336</v>
      </c>
      <c r="AZ86" s="54" t="s">
        <v>299</v>
      </c>
      <c r="BA86" s="36" t="s">
        <v>282</v>
      </c>
      <c r="BC86" s="53">
        <f t="shared" si="37"/>
        <v>0</v>
      </c>
      <c r="BD86" s="53">
        <f t="shared" si="38"/>
        <v>0</v>
      </c>
      <c r="BE86" s="53">
        <v>0</v>
      </c>
      <c r="BF86" s="53">
        <f>86</f>
        <v>86</v>
      </c>
      <c r="BH86" s="53">
        <f t="shared" si="39"/>
        <v>0</v>
      </c>
      <c r="BI86" s="53">
        <f t="shared" si="40"/>
        <v>0</v>
      </c>
      <c r="BJ86" s="53">
        <f t="shared" si="41"/>
        <v>0</v>
      </c>
      <c r="BK86" s="53"/>
      <c r="BL86" s="53">
        <v>713</v>
      </c>
      <c r="BW86" s="53">
        <v>21</v>
      </c>
      <c r="BX86" s="3" t="s">
        <v>348</v>
      </c>
    </row>
    <row r="87" spans="1:76" ht="14.4" x14ac:dyDescent="0.3">
      <c r="A87" s="1" t="s">
        <v>349</v>
      </c>
      <c r="B87" s="2" t="s">
        <v>274</v>
      </c>
      <c r="C87" s="2" t="s">
        <v>350</v>
      </c>
      <c r="D87" s="62" t="s">
        <v>351</v>
      </c>
      <c r="E87" s="63"/>
      <c r="F87" s="2" t="s">
        <v>177</v>
      </c>
      <c r="G87" s="53">
        <v>117</v>
      </c>
      <c r="H87" s="53">
        <v>0</v>
      </c>
      <c r="I87" s="53">
        <f t="shared" si="22"/>
        <v>0</v>
      </c>
      <c r="J87" s="54" t="s">
        <v>141</v>
      </c>
      <c r="K87" s="49"/>
      <c r="Z87" s="53">
        <f t="shared" si="23"/>
        <v>0</v>
      </c>
      <c r="AB87" s="53">
        <f t="shared" si="24"/>
        <v>0</v>
      </c>
      <c r="AC87" s="53">
        <f t="shared" si="25"/>
        <v>0</v>
      </c>
      <c r="AD87" s="53">
        <f t="shared" si="26"/>
        <v>0</v>
      </c>
      <c r="AE87" s="53">
        <f t="shared" si="27"/>
        <v>0</v>
      </c>
      <c r="AF87" s="53">
        <f t="shared" si="28"/>
        <v>0</v>
      </c>
      <c r="AG87" s="53">
        <f t="shared" si="29"/>
        <v>0</v>
      </c>
      <c r="AH87" s="53">
        <f t="shared" si="30"/>
        <v>0</v>
      </c>
      <c r="AI87" s="36" t="s">
        <v>274</v>
      </c>
      <c r="AJ87" s="53">
        <f t="shared" si="31"/>
        <v>0</v>
      </c>
      <c r="AK87" s="53">
        <f t="shared" si="32"/>
        <v>0</v>
      </c>
      <c r="AL87" s="53">
        <f t="shared" si="33"/>
        <v>0</v>
      </c>
      <c r="AN87" s="53">
        <v>21</v>
      </c>
      <c r="AO87" s="53">
        <f>H87*0.596889226</f>
        <v>0</v>
      </c>
      <c r="AP87" s="53">
        <f>H87*(1-0.596889226)</f>
        <v>0</v>
      </c>
      <c r="AQ87" s="54" t="s">
        <v>154</v>
      </c>
      <c r="AV87" s="53">
        <f t="shared" si="34"/>
        <v>0</v>
      </c>
      <c r="AW87" s="53">
        <f t="shared" si="35"/>
        <v>0</v>
      </c>
      <c r="AX87" s="53">
        <f t="shared" si="36"/>
        <v>0</v>
      </c>
      <c r="AY87" s="54" t="s">
        <v>336</v>
      </c>
      <c r="AZ87" s="54" t="s">
        <v>299</v>
      </c>
      <c r="BA87" s="36" t="s">
        <v>282</v>
      </c>
      <c r="BC87" s="53">
        <f t="shared" si="37"/>
        <v>0</v>
      </c>
      <c r="BD87" s="53">
        <f t="shared" si="38"/>
        <v>0</v>
      </c>
      <c r="BE87" s="53">
        <v>0</v>
      </c>
      <c r="BF87" s="53">
        <f>87</f>
        <v>87</v>
      </c>
      <c r="BH87" s="53">
        <f t="shared" si="39"/>
        <v>0</v>
      </c>
      <c r="BI87" s="53">
        <f t="shared" si="40"/>
        <v>0</v>
      </c>
      <c r="BJ87" s="53">
        <f t="shared" si="41"/>
        <v>0</v>
      </c>
      <c r="BK87" s="53"/>
      <c r="BL87" s="53">
        <v>713</v>
      </c>
      <c r="BW87" s="53">
        <v>21</v>
      </c>
      <c r="BX87" s="3" t="s">
        <v>351</v>
      </c>
    </row>
    <row r="88" spans="1:76" ht="14.4" x14ac:dyDescent="0.3">
      <c r="A88" s="1" t="s">
        <v>352</v>
      </c>
      <c r="B88" s="2" t="s">
        <v>274</v>
      </c>
      <c r="C88" s="2" t="s">
        <v>353</v>
      </c>
      <c r="D88" s="62" t="s">
        <v>354</v>
      </c>
      <c r="E88" s="63"/>
      <c r="F88" s="2" t="s">
        <v>63</v>
      </c>
      <c r="G88" s="53">
        <v>9.9227299999999996</v>
      </c>
      <c r="H88" s="53">
        <v>0</v>
      </c>
      <c r="I88" s="53">
        <f t="shared" si="22"/>
        <v>0</v>
      </c>
      <c r="J88" s="54" t="s">
        <v>141</v>
      </c>
      <c r="K88" s="49"/>
      <c r="Z88" s="53">
        <f t="shared" si="23"/>
        <v>0</v>
      </c>
      <c r="AB88" s="53">
        <f t="shared" si="24"/>
        <v>0</v>
      </c>
      <c r="AC88" s="53">
        <f t="shared" si="25"/>
        <v>0</v>
      </c>
      <c r="AD88" s="53">
        <f t="shared" si="26"/>
        <v>0</v>
      </c>
      <c r="AE88" s="53">
        <f t="shared" si="27"/>
        <v>0</v>
      </c>
      <c r="AF88" s="53">
        <f t="shared" si="28"/>
        <v>0</v>
      </c>
      <c r="AG88" s="53">
        <f t="shared" si="29"/>
        <v>0</v>
      </c>
      <c r="AH88" s="53">
        <f t="shared" si="30"/>
        <v>0</v>
      </c>
      <c r="AI88" s="36" t="s">
        <v>274</v>
      </c>
      <c r="AJ88" s="53">
        <f t="shared" si="31"/>
        <v>0</v>
      </c>
      <c r="AK88" s="53">
        <f t="shared" si="32"/>
        <v>0</v>
      </c>
      <c r="AL88" s="53">
        <f t="shared" si="33"/>
        <v>0</v>
      </c>
      <c r="AN88" s="53">
        <v>21</v>
      </c>
      <c r="AO88" s="53">
        <f>H88*0</f>
        <v>0</v>
      </c>
      <c r="AP88" s="53">
        <f>H88*(1-0)</f>
        <v>0</v>
      </c>
      <c r="AQ88" s="54" t="s">
        <v>147</v>
      </c>
      <c r="AV88" s="53">
        <f t="shared" si="34"/>
        <v>0</v>
      </c>
      <c r="AW88" s="53">
        <f t="shared" si="35"/>
        <v>0</v>
      </c>
      <c r="AX88" s="53">
        <f t="shared" si="36"/>
        <v>0</v>
      </c>
      <c r="AY88" s="54" t="s">
        <v>336</v>
      </c>
      <c r="AZ88" s="54" t="s">
        <v>299</v>
      </c>
      <c r="BA88" s="36" t="s">
        <v>282</v>
      </c>
      <c r="BC88" s="53">
        <f t="shared" si="37"/>
        <v>0</v>
      </c>
      <c r="BD88" s="53">
        <f t="shared" si="38"/>
        <v>0</v>
      </c>
      <c r="BE88" s="53">
        <v>0</v>
      </c>
      <c r="BF88" s="53">
        <f>88</f>
        <v>88</v>
      </c>
      <c r="BH88" s="53">
        <f t="shared" si="39"/>
        <v>0</v>
      </c>
      <c r="BI88" s="53">
        <f t="shared" si="40"/>
        <v>0</v>
      </c>
      <c r="BJ88" s="53">
        <f t="shared" si="41"/>
        <v>0</v>
      </c>
      <c r="BK88" s="53"/>
      <c r="BL88" s="53">
        <v>713</v>
      </c>
      <c r="BW88" s="53">
        <v>21</v>
      </c>
      <c r="BX88" s="3" t="s">
        <v>354</v>
      </c>
    </row>
    <row r="89" spans="1:76" ht="14.4" x14ac:dyDescent="0.3">
      <c r="A89" s="1" t="s">
        <v>355</v>
      </c>
      <c r="B89" s="2" t="s">
        <v>274</v>
      </c>
      <c r="C89" s="2" t="s">
        <v>356</v>
      </c>
      <c r="D89" s="62" t="s">
        <v>357</v>
      </c>
      <c r="E89" s="63"/>
      <c r="F89" s="2" t="s">
        <v>63</v>
      </c>
      <c r="G89" s="53">
        <v>9.9227299999999996</v>
      </c>
      <c r="H89" s="53">
        <v>0</v>
      </c>
      <c r="I89" s="53">
        <f t="shared" si="22"/>
        <v>0</v>
      </c>
      <c r="J89" s="54" t="s">
        <v>141</v>
      </c>
      <c r="K89" s="49"/>
      <c r="Z89" s="53">
        <f t="shared" si="23"/>
        <v>0</v>
      </c>
      <c r="AB89" s="53">
        <f t="shared" si="24"/>
        <v>0</v>
      </c>
      <c r="AC89" s="53">
        <f t="shared" si="25"/>
        <v>0</v>
      </c>
      <c r="AD89" s="53">
        <f t="shared" si="26"/>
        <v>0</v>
      </c>
      <c r="AE89" s="53">
        <f t="shared" si="27"/>
        <v>0</v>
      </c>
      <c r="AF89" s="53">
        <f t="shared" si="28"/>
        <v>0</v>
      </c>
      <c r="AG89" s="53">
        <f t="shared" si="29"/>
        <v>0</v>
      </c>
      <c r="AH89" s="53">
        <f t="shared" si="30"/>
        <v>0</v>
      </c>
      <c r="AI89" s="36" t="s">
        <v>274</v>
      </c>
      <c r="AJ89" s="53">
        <f t="shared" si="31"/>
        <v>0</v>
      </c>
      <c r="AK89" s="53">
        <f t="shared" si="32"/>
        <v>0</v>
      </c>
      <c r="AL89" s="53">
        <f t="shared" si="33"/>
        <v>0</v>
      </c>
      <c r="AN89" s="53">
        <v>21</v>
      </c>
      <c r="AO89" s="53">
        <f>H89*0</f>
        <v>0</v>
      </c>
      <c r="AP89" s="53">
        <f>H89*(1-0)</f>
        <v>0</v>
      </c>
      <c r="AQ89" s="54" t="s">
        <v>147</v>
      </c>
      <c r="AV89" s="53">
        <f t="shared" si="34"/>
        <v>0</v>
      </c>
      <c r="AW89" s="53">
        <f t="shared" si="35"/>
        <v>0</v>
      </c>
      <c r="AX89" s="53">
        <f t="shared" si="36"/>
        <v>0</v>
      </c>
      <c r="AY89" s="54" t="s">
        <v>336</v>
      </c>
      <c r="AZ89" s="54" t="s">
        <v>299</v>
      </c>
      <c r="BA89" s="36" t="s">
        <v>282</v>
      </c>
      <c r="BC89" s="53">
        <f t="shared" si="37"/>
        <v>0</v>
      </c>
      <c r="BD89" s="53">
        <f t="shared" si="38"/>
        <v>0</v>
      </c>
      <c r="BE89" s="53">
        <v>0</v>
      </c>
      <c r="BF89" s="53">
        <f>89</f>
        <v>89</v>
      </c>
      <c r="BH89" s="53">
        <f t="shared" si="39"/>
        <v>0</v>
      </c>
      <c r="BI89" s="53">
        <f t="shared" si="40"/>
        <v>0</v>
      </c>
      <c r="BJ89" s="53">
        <f t="shared" si="41"/>
        <v>0</v>
      </c>
      <c r="BK89" s="53"/>
      <c r="BL89" s="53">
        <v>713</v>
      </c>
      <c r="BW89" s="53">
        <v>21</v>
      </c>
      <c r="BX89" s="3" t="s">
        <v>357</v>
      </c>
    </row>
    <row r="90" spans="1:76" ht="14.4" x14ac:dyDescent="0.3">
      <c r="A90" s="50" t="s">
        <v>10</v>
      </c>
      <c r="B90" s="51" t="s">
        <v>274</v>
      </c>
      <c r="C90" s="51" t="s">
        <v>358</v>
      </c>
      <c r="D90" s="133" t="s">
        <v>359</v>
      </c>
      <c r="E90" s="134"/>
      <c r="F90" s="52" t="s">
        <v>80</v>
      </c>
      <c r="G90" s="52" t="s">
        <v>80</v>
      </c>
      <c r="H90" s="52" t="s">
        <v>80</v>
      </c>
      <c r="I90" s="28">
        <f>SUM(I91:I94)</f>
        <v>0</v>
      </c>
      <c r="J90" s="36" t="s">
        <v>10</v>
      </c>
      <c r="K90" s="49"/>
      <c r="AI90" s="36" t="s">
        <v>274</v>
      </c>
      <c r="AS90" s="28">
        <f>SUM(AJ91:AJ94)</f>
        <v>0</v>
      </c>
      <c r="AT90" s="28">
        <f>SUM(AK91:AK94)</f>
        <v>0</v>
      </c>
      <c r="AU90" s="28">
        <f>SUM(AL91:AL94)</f>
        <v>0</v>
      </c>
    </row>
    <row r="91" spans="1:76" ht="14.4" x14ac:dyDescent="0.3">
      <c r="A91" s="1" t="s">
        <v>360</v>
      </c>
      <c r="B91" s="2" t="s">
        <v>274</v>
      </c>
      <c r="C91" s="2" t="s">
        <v>361</v>
      </c>
      <c r="D91" s="62" t="s">
        <v>362</v>
      </c>
      <c r="E91" s="63"/>
      <c r="F91" s="2" t="s">
        <v>191</v>
      </c>
      <c r="G91" s="53">
        <v>165</v>
      </c>
      <c r="H91" s="53">
        <v>0</v>
      </c>
      <c r="I91" s="53">
        <f>G91*H91</f>
        <v>0</v>
      </c>
      <c r="J91" s="54" t="s">
        <v>141</v>
      </c>
      <c r="K91" s="49"/>
      <c r="Z91" s="53">
        <f>IF(AQ91="5",BJ91,0)</f>
        <v>0</v>
      </c>
      <c r="AB91" s="53">
        <f>IF(AQ91="1",BH91,0)</f>
        <v>0</v>
      </c>
      <c r="AC91" s="53">
        <f>IF(AQ91="1",BI91,0)</f>
        <v>0</v>
      </c>
      <c r="AD91" s="53">
        <f>IF(AQ91="7",BH91,0)</f>
        <v>0</v>
      </c>
      <c r="AE91" s="53">
        <f>IF(AQ91="7",BI91,0)</f>
        <v>0</v>
      </c>
      <c r="AF91" s="53">
        <f>IF(AQ91="2",BH91,0)</f>
        <v>0</v>
      </c>
      <c r="AG91" s="53">
        <f>IF(AQ91="2",BI91,0)</f>
        <v>0</v>
      </c>
      <c r="AH91" s="53">
        <f>IF(AQ91="0",BJ91,0)</f>
        <v>0</v>
      </c>
      <c r="AI91" s="36" t="s">
        <v>274</v>
      </c>
      <c r="AJ91" s="53">
        <f>IF(AN91=0,I91,0)</f>
        <v>0</v>
      </c>
      <c r="AK91" s="53">
        <f>IF(AN91=12,I91,0)</f>
        <v>0</v>
      </c>
      <c r="AL91" s="53">
        <f>IF(AN91=21,I91,0)</f>
        <v>0</v>
      </c>
      <c r="AN91" s="53">
        <v>21</v>
      </c>
      <c r="AO91" s="53">
        <f>H91*0.092004505</f>
        <v>0</v>
      </c>
      <c r="AP91" s="53">
        <f>H91*(1-0.092004505)</f>
        <v>0</v>
      </c>
      <c r="AQ91" s="54" t="s">
        <v>154</v>
      </c>
      <c r="AV91" s="53">
        <f>AW91+AX91</f>
        <v>0</v>
      </c>
      <c r="AW91" s="53">
        <f>G91*AO91</f>
        <v>0</v>
      </c>
      <c r="AX91" s="53">
        <f>G91*AP91</f>
        <v>0</v>
      </c>
      <c r="AY91" s="54" t="s">
        <v>363</v>
      </c>
      <c r="AZ91" s="54" t="s">
        <v>364</v>
      </c>
      <c r="BA91" s="36" t="s">
        <v>282</v>
      </c>
      <c r="BC91" s="53">
        <f>AW91+AX91</f>
        <v>0</v>
      </c>
      <c r="BD91" s="53">
        <f>H91/(100-BE91)*100</f>
        <v>0</v>
      </c>
      <c r="BE91" s="53">
        <v>0</v>
      </c>
      <c r="BF91" s="53">
        <f>91</f>
        <v>91</v>
      </c>
      <c r="BH91" s="53">
        <f>G91*AO91</f>
        <v>0</v>
      </c>
      <c r="BI91" s="53">
        <f>G91*AP91</f>
        <v>0</v>
      </c>
      <c r="BJ91" s="53">
        <f>G91*H91</f>
        <v>0</v>
      </c>
      <c r="BK91" s="53"/>
      <c r="BL91" s="53">
        <v>767</v>
      </c>
      <c r="BW91" s="53">
        <v>21</v>
      </c>
      <c r="BX91" s="3" t="s">
        <v>362</v>
      </c>
    </row>
    <row r="92" spans="1:76" ht="26.4" x14ac:dyDescent="0.3">
      <c r="A92" s="1" t="s">
        <v>365</v>
      </c>
      <c r="B92" s="2" t="s">
        <v>274</v>
      </c>
      <c r="C92" s="2" t="s">
        <v>366</v>
      </c>
      <c r="D92" s="62" t="s">
        <v>367</v>
      </c>
      <c r="E92" s="63"/>
      <c r="F92" s="2" t="s">
        <v>202</v>
      </c>
      <c r="G92" s="53">
        <v>23</v>
      </c>
      <c r="H92" s="53">
        <v>0</v>
      </c>
      <c r="I92" s="53">
        <f>G92*H92</f>
        <v>0</v>
      </c>
      <c r="J92" s="54" t="s">
        <v>141</v>
      </c>
      <c r="K92" s="49"/>
      <c r="Z92" s="53">
        <f>IF(AQ92="5",BJ92,0)</f>
        <v>0</v>
      </c>
      <c r="AB92" s="53">
        <f>IF(AQ92="1",BH92,0)</f>
        <v>0</v>
      </c>
      <c r="AC92" s="53">
        <f>IF(AQ92="1",BI92,0)</f>
        <v>0</v>
      </c>
      <c r="AD92" s="53">
        <f>IF(AQ92="7",BH92,0)</f>
        <v>0</v>
      </c>
      <c r="AE92" s="53">
        <f>IF(AQ92="7",BI92,0)</f>
        <v>0</v>
      </c>
      <c r="AF92" s="53">
        <f>IF(AQ92="2",BH92,0)</f>
        <v>0</v>
      </c>
      <c r="AG92" s="53">
        <f>IF(AQ92="2",BI92,0)</f>
        <v>0</v>
      </c>
      <c r="AH92" s="53">
        <f>IF(AQ92="0",BJ92,0)</f>
        <v>0</v>
      </c>
      <c r="AI92" s="36" t="s">
        <v>274</v>
      </c>
      <c r="AJ92" s="53">
        <f>IF(AN92=0,I92,0)</f>
        <v>0</v>
      </c>
      <c r="AK92" s="53">
        <f>IF(AN92=12,I92,0)</f>
        <v>0</v>
      </c>
      <c r="AL92" s="53">
        <f>IF(AN92=21,I92,0)</f>
        <v>0</v>
      </c>
      <c r="AN92" s="53">
        <v>21</v>
      </c>
      <c r="AO92" s="53">
        <f>H92*0.620240031</f>
        <v>0</v>
      </c>
      <c r="AP92" s="53">
        <f>H92*(1-0.620240031)</f>
        <v>0</v>
      </c>
      <c r="AQ92" s="54" t="s">
        <v>154</v>
      </c>
      <c r="AV92" s="53">
        <f>AW92+AX92</f>
        <v>0</v>
      </c>
      <c r="AW92" s="53">
        <f>G92*AO92</f>
        <v>0</v>
      </c>
      <c r="AX92" s="53">
        <f>G92*AP92</f>
        <v>0</v>
      </c>
      <c r="AY92" s="54" t="s">
        <v>363</v>
      </c>
      <c r="AZ92" s="54" t="s">
        <v>364</v>
      </c>
      <c r="BA92" s="36" t="s">
        <v>282</v>
      </c>
      <c r="BC92" s="53">
        <f>AW92+AX92</f>
        <v>0</v>
      </c>
      <c r="BD92" s="53">
        <f>H92/(100-BE92)*100</f>
        <v>0</v>
      </c>
      <c r="BE92" s="53">
        <v>0</v>
      </c>
      <c r="BF92" s="53">
        <f>92</f>
        <v>92</v>
      </c>
      <c r="BH92" s="53">
        <f>G92*AO92</f>
        <v>0</v>
      </c>
      <c r="BI92" s="53">
        <f>G92*AP92</f>
        <v>0</v>
      </c>
      <c r="BJ92" s="53">
        <f>G92*H92</f>
        <v>0</v>
      </c>
      <c r="BK92" s="53"/>
      <c r="BL92" s="53">
        <v>767</v>
      </c>
      <c r="BW92" s="53">
        <v>21</v>
      </c>
      <c r="BX92" s="3" t="s">
        <v>367</v>
      </c>
    </row>
    <row r="93" spans="1:76" ht="14.4" x14ac:dyDescent="0.3">
      <c r="A93" s="1" t="s">
        <v>368</v>
      </c>
      <c r="B93" s="2" t="s">
        <v>274</v>
      </c>
      <c r="C93" s="2" t="s">
        <v>369</v>
      </c>
      <c r="D93" s="62" t="s">
        <v>370</v>
      </c>
      <c r="E93" s="63"/>
      <c r="F93" s="2" t="s">
        <v>63</v>
      </c>
      <c r="G93" s="53">
        <v>7.8090000000000007E-2</v>
      </c>
      <c r="H93" s="53">
        <v>0</v>
      </c>
      <c r="I93" s="53">
        <f>G93*H93</f>
        <v>0</v>
      </c>
      <c r="J93" s="54" t="s">
        <v>141</v>
      </c>
      <c r="K93" s="49"/>
      <c r="Z93" s="53">
        <f>IF(AQ93="5",BJ93,0)</f>
        <v>0</v>
      </c>
      <c r="AB93" s="53">
        <f>IF(AQ93="1",BH93,0)</f>
        <v>0</v>
      </c>
      <c r="AC93" s="53">
        <f>IF(AQ93="1",BI93,0)</f>
        <v>0</v>
      </c>
      <c r="AD93" s="53">
        <f>IF(AQ93="7",BH93,0)</f>
        <v>0</v>
      </c>
      <c r="AE93" s="53">
        <f>IF(AQ93="7",BI93,0)</f>
        <v>0</v>
      </c>
      <c r="AF93" s="53">
        <f>IF(AQ93="2",BH93,0)</f>
        <v>0</v>
      </c>
      <c r="AG93" s="53">
        <f>IF(AQ93="2",BI93,0)</f>
        <v>0</v>
      </c>
      <c r="AH93" s="53">
        <f>IF(AQ93="0",BJ93,0)</f>
        <v>0</v>
      </c>
      <c r="AI93" s="36" t="s">
        <v>274</v>
      </c>
      <c r="AJ93" s="53">
        <f>IF(AN93=0,I93,0)</f>
        <v>0</v>
      </c>
      <c r="AK93" s="53">
        <f>IF(AN93=12,I93,0)</f>
        <v>0</v>
      </c>
      <c r="AL93" s="53">
        <f>IF(AN93=21,I93,0)</f>
        <v>0</v>
      </c>
      <c r="AN93" s="53">
        <v>21</v>
      </c>
      <c r="AO93" s="53">
        <f>H93*0</f>
        <v>0</v>
      </c>
      <c r="AP93" s="53">
        <f>H93*(1-0)</f>
        <v>0</v>
      </c>
      <c r="AQ93" s="54" t="s">
        <v>147</v>
      </c>
      <c r="AV93" s="53">
        <f>AW93+AX93</f>
        <v>0</v>
      </c>
      <c r="AW93" s="53">
        <f>G93*AO93</f>
        <v>0</v>
      </c>
      <c r="AX93" s="53">
        <f>G93*AP93</f>
        <v>0</v>
      </c>
      <c r="AY93" s="54" t="s">
        <v>363</v>
      </c>
      <c r="AZ93" s="54" t="s">
        <v>364</v>
      </c>
      <c r="BA93" s="36" t="s">
        <v>282</v>
      </c>
      <c r="BC93" s="53">
        <f>AW93+AX93</f>
        <v>0</v>
      </c>
      <c r="BD93" s="53">
        <f>H93/(100-BE93)*100</f>
        <v>0</v>
      </c>
      <c r="BE93" s="53">
        <v>0</v>
      </c>
      <c r="BF93" s="53">
        <f>93</f>
        <v>93</v>
      </c>
      <c r="BH93" s="53">
        <f>G93*AO93</f>
        <v>0</v>
      </c>
      <c r="BI93" s="53">
        <f>G93*AP93</f>
        <v>0</v>
      </c>
      <c r="BJ93" s="53">
        <f>G93*H93</f>
        <v>0</v>
      </c>
      <c r="BK93" s="53"/>
      <c r="BL93" s="53">
        <v>767</v>
      </c>
      <c r="BW93" s="53">
        <v>21</v>
      </c>
      <c r="BX93" s="3" t="s">
        <v>370</v>
      </c>
    </row>
    <row r="94" spans="1:76" ht="14.4" x14ac:dyDescent="0.3">
      <c r="A94" s="1" t="s">
        <v>371</v>
      </c>
      <c r="B94" s="2" t="s">
        <v>274</v>
      </c>
      <c r="C94" s="2" t="s">
        <v>372</v>
      </c>
      <c r="D94" s="62" t="s">
        <v>373</v>
      </c>
      <c r="E94" s="63"/>
      <c r="F94" s="2" t="s">
        <v>63</v>
      </c>
      <c r="G94" s="53">
        <v>7.8090000000000007E-2</v>
      </c>
      <c r="H94" s="53">
        <v>0</v>
      </c>
      <c r="I94" s="53">
        <f>G94*H94</f>
        <v>0</v>
      </c>
      <c r="J94" s="54" t="s">
        <v>141</v>
      </c>
      <c r="K94" s="49"/>
      <c r="Z94" s="53">
        <f>IF(AQ94="5",BJ94,0)</f>
        <v>0</v>
      </c>
      <c r="AB94" s="53">
        <f>IF(AQ94="1",BH94,0)</f>
        <v>0</v>
      </c>
      <c r="AC94" s="53">
        <f>IF(AQ94="1",BI94,0)</f>
        <v>0</v>
      </c>
      <c r="AD94" s="53">
        <f>IF(AQ94="7",BH94,0)</f>
        <v>0</v>
      </c>
      <c r="AE94" s="53">
        <f>IF(AQ94="7",BI94,0)</f>
        <v>0</v>
      </c>
      <c r="AF94" s="53">
        <f>IF(AQ94="2",BH94,0)</f>
        <v>0</v>
      </c>
      <c r="AG94" s="53">
        <f>IF(AQ94="2",BI94,0)</f>
        <v>0</v>
      </c>
      <c r="AH94" s="53">
        <f>IF(AQ94="0",BJ94,0)</f>
        <v>0</v>
      </c>
      <c r="AI94" s="36" t="s">
        <v>274</v>
      </c>
      <c r="AJ94" s="53">
        <f>IF(AN94=0,I94,0)</f>
        <v>0</v>
      </c>
      <c r="AK94" s="53">
        <f>IF(AN94=12,I94,0)</f>
        <v>0</v>
      </c>
      <c r="AL94" s="53">
        <f>IF(AN94=21,I94,0)</f>
        <v>0</v>
      </c>
      <c r="AN94" s="53">
        <v>21</v>
      </c>
      <c r="AO94" s="53">
        <f>H94*0</f>
        <v>0</v>
      </c>
      <c r="AP94" s="53">
        <f>H94*(1-0)</f>
        <v>0</v>
      </c>
      <c r="AQ94" s="54" t="s">
        <v>147</v>
      </c>
      <c r="AV94" s="53">
        <f>AW94+AX94</f>
        <v>0</v>
      </c>
      <c r="AW94" s="53">
        <f>G94*AO94</f>
        <v>0</v>
      </c>
      <c r="AX94" s="53">
        <f>G94*AP94</f>
        <v>0</v>
      </c>
      <c r="AY94" s="54" t="s">
        <v>363</v>
      </c>
      <c r="AZ94" s="54" t="s">
        <v>364</v>
      </c>
      <c r="BA94" s="36" t="s">
        <v>282</v>
      </c>
      <c r="BC94" s="53">
        <f>AW94+AX94</f>
        <v>0</v>
      </c>
      <c r="BD94" s="53">
        <f>H94/(100-BE94)*100</f>
        <v>0</v>
      </c>
      <c r="BE94" s="53">
        <v>0</v>
      </c>
      <c r="BF94" s="53">
        <f>94</f>
        <v>94</v>
      </c>
      <c r="BH94" s="53">
        <f>G94*AO94</f>
        <v>0</v>
      </c>
      <c r="BI94" s="53">
        <f>G94*AP94</f>
        <v>0</v>
      </c>
      <c r="BJ94" s="53">
        <f>G94*H94</f>
        <v>0</v>
      </c>
      <c r="BK94" s="53"/>
      <c r="BL94" s="53">
        <v>767</v>
      </c>
      <c r="BW94" s="53">
        <v>21</v>
      </c>
      <c r="BX94" s="3" t="s">
        <v>373</v>
      </c>
    </row>
    <row r="95" spans="1:76" ht="14.4" x14ac:dyDescent="0.3">
      <c r="A95" s="50" t="s">
        <v>10</v>
      </c>
      <c r="B95" s="51" t="s">
        <v>274</v>
      </c>
      <c r="C95" s="51" t="s">
        <v>374</v>
      </c>
      <c r="D95" s="133" t="s">
        <v>375</v>
      </c>
      <c r="E95" s="134"/>
      <c r="F95" s="52" t="s">
        <v>80</v>
      </c>
      <c r="G95" s="52" t="s">
        <v>80</v>
      </c>
      <c r="H95" s="52" t="s">
        <v>80</v>
      </c>
      <c r="I95" s="28">
        <f>SUM(I96:I96)</f>
        <v>0</v>
      </c>
      <c r="J95" s="36" t="s">
        <v>10</v>
      </c>
      <c r="K95" s="49"/>
      <c r="AI95" s="36" t="s">
        <v>274</v>
      </c>
      <c r="AS95" s="28">
        <f>SUM(AJ96:AJ96)</f>
        <v>0</v>
      </c>
      <c r="AT95" s="28">
        <f>SUM(AK96:AK96)</f>
        <v>0</v>
      </c>
      <c r="AU95" s="28">
        <f>SUM(AL96:AL96)</f>
        <v>0</v>
      </c>
    </row>
    <row r="96" spans="1:76" ht="14.4" x14ac:dyDescent="0.3">
      <c r="A96" s="1" t="s">
        <v>376</v>
      </c>
      <c r="B96" s="2" t="s">
        <v>274</v>
      </c>
      <c r="C96" s="2" t="s">
        <v>377</v>
      </c>
      <c r="D96" s="62" t="s">
        <v>378</v>
      </c>
      <c r="E96" s="63"/>
      <c r="F96" s="2" t="s">
        <v>177</v>
      </c>
      <c r="G96" s="53">
        <v>19</v>
      </c>
      <c r="H96" s="53">
        <v>0</v>
      </c>
      <c r="I96" s="53">
        <f>G96*H96</f>
        <v>0</v>
      </c>
      <c r="J96" s="54" t="s">
        <v>141</v>
      </c>
      <c r="K96" s="49"/>
      <c r="Z96" s="53">
        <f>IF(AQ96="5",BJ96,0)</f>
        <v>0</v>
      </c>
      <c r="AB96" s="53">
        <f>IF(AQ96="1",BH96,0)</f>
        <v>0</v>
      </c>
      <c r="AC96" s="53">
        <f>IF(AQ96="1",BI96,0)</f>
        <v>0</v>
      </c>
      <c r="AD96" s="53">
        <f>IF(AQ96="7",BH96,0)</f>
        <v>0</v>
      </c>
      <c r="AE96" s="53">
        <f>IF(AQ96="7",BI96,0)</f>
        <v>0</v>
      </c>
      <c r="AF96" s="53">
        <f>IF(AQ96="2",BH96,0)</f>
        <v>0</v>
      </c>
      <c r="AG96" s="53">
        <f>IF(AQ96="2",BI96,0)</f>
        <v>0</v>
      </c>
      <c r="AH96" s="53">
        <f>IF(AQ96="0",BJ96,0)</f>
        <v>0</v>
      </c>
      <c r="AI96" s="36" t="s">
        <v>274</v>
      </c>
      <c r="AJ96" s="53">
        <f>IF(AN96=0,I96,0)</f>
        <v>0</v>
      </c>
      <c r="AK96" s="53">
        <f>IF(AN96=12,I96,0)</f>
        <v>0</v>
      </c>
      <c r="AL96" s="53">
        <f>IF(AN96=21,I96,0)</f>
        <v>0</v>
      </c>
      <c r="AN96" s="53">
        <v>21</v>
      </c>
      <c r="AO96" s="53">
        <f>H96*0.897795918</f>
        <v>0</v>
      </c>
      <c r="AP96" s="53">
        <f>H96*(1-0.897795918)</f>
        <v>0</v>
      </c>
      <c r="AQ96" s="54" t="s">
        <v>154</v>
      </c>
      <c r="AV96" s="53">
        <f>AW96+AX96</f>
        <v>0</v>
      </c>
      <c r="AW96" s="53">
        <f>G96*AO96</f>
        <v>0</v>
      </c>
      <c r="AX96" s="53">
        <f>G96*AP96</f>
        <v>0</v>
      </c>
      <c r="AY96" s="54" t="s">
        <v>379</v>
      </c>
      <c r="AZ96" s="54" t="s">
        <v>380</v>
      </c>
      <c r="BA96" s="36" t="s">
        <v>282</v>
      </c>
      <c r="BC96" s="53">
        <f>AW96+AX96</f>
        <v>0</v>
      </c>
      <c r="BD96" s="53">
        <f>H96/(100-BE96)*100</f>
        <v>0</v>
      </c>
      <c r="BE96" s="53">
        <v>0</v>
      </c>
      <c r="BF96" s="53">
        <f>96</f>
        <v>96</v>
      </c>
      <c r="BH96" s="53">
        <f>G96*AO96</f>
        <v>0</v>
      </c>
      <c r="BI96" s="53">
        <f>G96*AP96</f>
        <v>0</v>
      </c>
      <c r="BJ96" s="53">
        <f>G96*H96</f>
        <v>0</v>
      </c>
      <c r="BK96" s="53"/>
      <c r="BL96" s="53">
        <v>777</v>
      </c>
      <c r="BW96" s="53">
        <v>21</v>
      </c>
      <c r="BX96" s="3" t="s">
        <v>378</v>
      </c>
    </row>
    <row r="97" spans="1:76" ht="14.4" x14ac:dyDescent="0.3">
      <c r="A97" s="50" t="s">
        <v>10</v>
      </c>
      <c r="B97" s="51" t="s">
        <v>274</v>
      </c>
      <c r="C97" s="51" t="s">
        <v>381</v>
      </c>
      <c r="D97" s="133" t="s">
        <v>382</v>
      </c>
      <c r="E97" s="134"/>
      <c r="F97" s="52" t="s">
        <v>80</v>
      </c>
      <c r="G97" s="52" t="s">
        <v>80</v>
      </c>
      <c r="H97" s="52" t="s">
        <v>80</v>
      </c>
      <c r="I97" s="28">
        <f>SUM(I98:I98)</f>
        <v>0</v>
      </c>
      <c r="J97" s="36" t="s">
        <v>10</v>
      </c>
      <c r="K97" s="49"/>
      <c r="AI97" s="36" t="s">
        <v>274</v>
      </c>
      <c r="AS97" s="28">
        <f>SUM(AJ98:AJ98)</f>
        <v>0</v>
      </c>
      <c r="AT97" s="28">
        <f>SUM(AK98:AK98)</f>
        <v>0</v>
      </c>
      <c r="AU97" s="28">
        <f>SUM(AL98:AL98)</f>
        <v>0</v>
      </c>
    </row>
    <row r="98" spans="1:76" ht="14.4" x14ac:dyDescent="0.3">
      <c r="A98" s="1" t="s">
        <v>383</v>
      </c>
      <c r="B98" s="2" t="s">
        <v>274</v>
      </c>
      <c r="C98" s="2" t="s">
        <v>384</v>
      </c>
      <c r="D98" s="62" t="s">
        <v>385</v>
      </c>
      <c r="E98" s="63"/>
      <c r="F98" s="2" t="s">
        <v>202</v>
      </c>
      <c r="G98" s="53">
        <v>115</v>
      </c>
      <c r="H98" s="53">
        <v>0</v>
      </c>
      <c r="I98" s="53">
        <f>G98*H98</f>
        <v>0</v>
      </c>
      <c r="J98" s="54" t="s">
        <v>141</v>
      </c>
      <c r="K98" s="49"/>
      <c r="Z98" s="53">
        <f>IF(AQ98="5",BJ98,0)</f>
        <v>0</v>
      </c>
      <c r="AB98" s="53">
        <f>IF(AQ98="1",BH98,0)</f>
        <v>0</v>
      </c>
      <c r="AC98" s="53">
        <f>IF(AQ98="1",BI98,0)</f>
        <v>0</v>
      </c>
      <c r="AD98" s="53">
        <f>IF(AQ98="7",BH98,0)</f>
        <v>0</v>
      </c>
      <c r="AE98" s="53">
        <f>IF(AQ98="7",BI98,0)</f>
        <v>0</v>
      </c>
      <c r="AF98" s="53">
        <f>IF(AQ98="2",BH98,0)</f>
        <v>0</v>
      </c>
      <c r="AG98" s="53">
        <f>IF(AQ98="2",BI98,0)</f>
        <v>0</v>
      </c>
      <c r="AH98" s="53">
        <f>IF(AQ98="0",BJ98,0)</f>
        <v>0</v>
      </c>
      <c r="AI98" s="36" t="s">
        <v>274</v>
      </c>
      <c r="AJ98" s="53">
        <f>IF(AN98=0,I98,0)</f>
        <v>0</v>
      </c>
      <c r="AK98" s="53">
        <f>IF(AN98=12,I98,0)</f>
        <v>0</v>
      </c>
      <c r="AL98" s="53">
        <f>IF(AN98=21,I98,0)</f>
        <v>0</v>
      </c>
      <c r="AN98" s="53">
        <v>21</v>
      </c>
      <c r="AO98" s="53">
        <f>H98*0.746685714</f>
        <v>0</v>
      </c>
      <c r="AP98" s="53">
        <f>H98*(1-0.746685714)</f>
        <v>0</v>
      </c>
      <c r="AQ98" s="54" t="s">
        <v>121</v>
      </c>
      <c r="AV98" s="53">
        <f>AW98+AX98</f>
        <v>0</v>
      </c>
      <c r="AW98" s="53">
        <f>G98*AO98</f>
        <v>0</v>
      </c>
      <c r="AX98" s="53">
        <f>G98*AP98</f>
        <v>0</v>
      </c>
      <c r="AY98" s="54" t="s">
        <v>386</v>
      </c>
      <c r="AZ98" s="54" t="s">
        <v>387</v>
      </c>
      <c r="BA98" s="36" t="s">
        <v>282</v>
      </c>
      <c r="BC98" s="53">
        <f>AW98+AX98</f>
        <v>0</v>
      </c>
      <c r="BD98" s="53">
        <f>H98/(100-BE98)*100</f>
        <v>0</v>
      </c>
      <c r="BE98" s="53">
        <v>0</v>
      </c>
      <c r="BF98" s="53">
        <f>98</f>
        <v>98</v>
      </c>
      <c r="BH98" s="53">
        <f>G98*AO98</f>
        <v>0</v>
      </c>
      <c r="BI98" s="53">
        <f>G98*AP98</f>
        <v>0</v>
      </c>
      <c r="BJ98" s="53">
        <f>G98*H98</f>
        <v>0</v>
      </c>
      <c r="BK98" s="53"/>
      <c r="BL98" s="53">
        <v>95</v>
      </c>
      <c r="BW98" s="53">
        <v>21</v>
      </c>
      <c r="BX98" s="3" t="s">
        <v>385</v>
      </c>
    </row>
    <row r="99" spans="1:76" ht="14.4" x14ac:dyDescent="0.3">
      <c r="A99" s="50" t="s">
        <v>10</v>
      </c>
      <c r="B99" s="51" t="s">
        <v>274</v>
      </c>
      <c r="C99" s="51" t="s">
        <v>388</v>
      </c>
      <c r="D99" s="133" t="s">
        <v>38</v>
      </c>
      <c r="E99" s="134"/>
      <c r="F99" s="52" t="s">
        <v>80</v>
      </c>
      <c r="G99" s="52" t="s">
        <v>80</v>
      </c>
      <c r="H99" s="52" t="s">
        <v>80</v>
      </c>
      <c r="I99" s="28">
        <f>SUM(I100:I103)</f>
        <v>0</v>
      </c>
      <c r="J99" s="36" t="s">
        <v>10</v>
      </c>
      <c r="K99" s="49"/>
      <c r="AI99" s="36" t="s">
        <v>274</v>
      </c>
      <c r="AS99" s="28">
        <f>SUM(AJ100:AJ103)</f>
        <v>0</v>
      </c>
      <c r="AT99" s="28">
        <f>SUM(AK100:AK103)</f>
        <v>0</v>
      </c>
      <c r="AU99" s="28">
        <f>SUM(AL100:AL103)</f>
        <v>0</v>
      </c>
    </row>
    <row r="100" spans="1:76" ht="14.4" x14ac:dyDescent="0.3">
      <c r="A100" s="1" t="s">
        <v>389</v>
      </c>
      <c r="B100" s="2" t="s">
        <v>274</v>
      </c>
      <c r="C100" s="2" t="s">
        <v>390</v>
      </c>
      <c r="D100" s="62" t="s">
        <v>391</v>
      </c>
      <c r="E100" s="63"/>
      <c r="F100" s="2" t="s">
        <v>198</v>
      </c>
      <c r="G100" s="53">
        <v>28.475999999999999</v>
      </c>
      <c r="H100" s="53">
        <v>0</v>
      </c>
      <c r="I100" s="53">
        <f>G100*H100</f>
        <v>0</v>
      </c>
      <c r="J100" s="54" t="s">
        <v>141</v>
      </c>
      <c r="K100" s="49"/>
      <c r="Z100" s="53">
        <f>IF(AQ100="5",BJ100,0)</f>
        <v>0</v>
      </c>
      <c r="AB100" s="53">
        <f>IF(AQ100="1",BH100,0)</f>
        <v>0</v>
      </c>
      <c r="AC100" s="53">
        <f>IF(AQ100="1",BI100,0)</f>
        <v>0</v>
      </c>
      <c r="AD100" s="53">
        <f>IF(AQ100="7",BH100,0)</f>
        <v>0</v>
      </c>
      <c r="AE100" s="53">
        <f>IF(AQ100="7",BI100,0)</f>
        <v>0</v>
      </c>
      <c r="AF100" s="53">
        <f>IF(AQ100="2",BH100,0)</f>
        <v>0</v>
      </c>
      <c r="AG100" s="53">
        <f>IF(AQ100="2",BI100,0)</f>
        <v>0</v>
      </c>
      <c r="AH100" s="53">
        <f>IF(AQ100="0",BJ100,0)</f>
        <v>0</v>
      </c>
      <c r="AI100" s="36" t="s">
        <v>274</v>
      </c>
      <c r="AJ100" s="53">
        <f>IF(AN100=0,I100,0)</f>
        <v>0</v>
      </c>
      <c r="AK100" s="53">
        <f>IF(AN100=12,I100,0)</f>
        <v>0</v>
      </c>
      <c r="AL100" s="53">
        <f>IF(AN100=21,I100,0)</f>
        <v>0</v>
      </c>
      <c r="AN100" s="53">
        <v>21</v>
      </c>
      <c r="AO100" s="53">
        <f>H100*1</f>
        <v>0</v>
      </c>
      <c r="AP100" s="53">
        <f>H100*(1-1)</f>
        <v>0</v>
      </c>
      <c r="AQ100" s="54" t="s">
        <v>119</v>
      </c>
      <c r="AV100" s="53">
        <f>AW100+AX100</f>
        <v>0</v>
      </c>
      <c r="AW100" s="53">
        <f>G100*AO100</f>
        <v>0</v>
      </c>
      <c r="AX100" s="53">
        <f>G100*AP100</f>
        <v>0</v>
      </c>
      <c r="AY100" s="54" t="s">
        <v>392</v>
      </c>
      <c r="AZ100" s="54" t="s">
        <v>393</v>
      </c>
      <c r="BA100" s="36" t="s">
        <v>282</v>
      </c>
      <c r="BC100" s="53">
        <f>AW100+AX100</f>
        <v>0</v>
      </c>
      <c r="BD100" s="53">
        <f>H100/(100-BE100)*100</f>
        <v>0</v>
      </c>
      <c r="BE100" s="53">
        <v>0</v>
      </c>
      <c r="BF100" s="53">
        <f>100</f>
        <v>100</v>
      </c>
      <c r="BH100" s="53">
        <f>G100*AO100</f>
        <v>0</v>
      </c>
      <c r="BI100" s="53">
        <f>G100*AP100</f>
        <v>0</v>
      </c>
      <c r="BJ100" s="53">
        <f>G100*H100</f>
        <v>0</v>
      </c>
      <c r="BK100" s="53"/>
      <c r="BL100" s="53"/>
      <c r="BW100" s="53">
        <v>21</v>
      </c>
      <c r="BX100" s="3" t="s">
        <v>391</v>
      </c>
    </row>
    <row r="101" spans="1:76" ht="14.4" x14ac:dyDescent="0.3">
      <c r="A101" s="1" t="s">
        <v>394</v>
      </c>
      <c r="B101" s="2" t="s">
        <v>274</v>
      </c>
      <c r="C101" s="2" t="s">
        <v>395</v>
      </c>
      <c r="D101" s="62" t="s">
        <v>396</v>
      </c>
      <c r="E101" s="63"/>
      <c r="F101" s="2" t="s">
        <v>177</v>
      </c>
      <c r="G101" s="53">
        <v>473.8</v>
      </c>
      <c r="H101" s="53">
        <v>0</v>
      </c>
      <c r="I101" s="53">
        <f>G101*H101</f>
        <v>0</v>
      </c>
      <c r="J101" s="54" t="s">
        <v>141</v>
      </c>
      <c r="K101" s="49"/>
      <c r="Z101" s="53">
        <f>IF(AQ101="5",BJ101,0)</f>
        <v>0</v>
      </c>
      <c r="AB101" s="53">
        <f>IF(AQ101="1",BH101,0)</f>
        <v>0</v>
      </c>
      <c r="AC101" s="53">
        <f>IF(AQ101="1",BI101,0)</f>
        <v>0</v>
      </c>
      <c r="AD101" s="53">
        <f>IF(AQ101="7",BH101,0)</f>
        <v>0</v>
      </c>
      <c r="AE101" s="53">
        <f>IF(AQ101="7",BI101,0)</f>
        <v>0</v>
      </c>
      <c r="AF101" s="53">
        <f>IF(AQ101="2",BH101,0)</f>
        <v>0</v>
      </c>
      <c r="AG101" s="53">
        <f>IF(AQ101="2",BI101,0)</f>
        <v>0</v>
      </c>
      <c r="AH101" s="53">
        <f>IF(AQ101="0",BJ101,0)</f>
        <v>0</v>
      </c>
      <c r="AI101" s="36" t="s">
        <v>274</v>
      </c>
      <c r="AJ101" s="53">
        <f>IF(AN101=0,I101,0)</f>
        <v>0</v>
      </c>
      <c r="AK101" s="53">
        <f>IF(AN101=12,I101,0)</f>
        <v>0</v>
      </c>
      <c r="AL101" s="53">
        <f>IF(AN101=21,I101,0)</f>
        <v>0</v>
      </c>
      <c r="AN101" s="53">
        <v>21</v>
      </c>
      <c r="AO101" s="53">
        <f>H101*1</f>
        <v>0</v>
      </c>
      <c r="AP101" s="53">
        <f>H101*(1-1)</f>
        <v>0</v>
      </c>
      <c r="AQ101" s="54" t="s">
        <v>119</v>
      </c>
      <c r="AV101" s="53">
        <f>AW101+AX101</f>
        <v>0</v>
      </c>
      <c r="AW101" s="53">
        <f>G101*AO101</f>
        <v>0</v>
      </c>
      <c r="AX101" s="53">
        <f>G101*AP101</f>
        <v>0</v>
      </c>
      <c r="AY101" s="54" t="s">
        <v>392</v>
      </c>
      <c r="AZ101" s="54" t="s">
        <v>393</v>
      </c>
      <c r="BA101" s="36" t="s">
        <v>282</v>
      </c>
      <c r="BC101" s="53">
        <f>AW101+AX101</f>
        <v>0</v>
      </c>
      <c r="BD101" s="53">
        <f>H101/(100-BE101)*100</f>
        <v>0</v>
      </c>
      <c r="BE101" s="53">
        <v>0</v>
      </c>
      <c r="BF101" s="53">
        <f>101</f>
        <v>101</v>
      </c>
      <c r="BH101" s="53">
        <f>G101*AO101</f>
        <v>0</v>
      </c>
      <c r="BI101" s="53">
        <f>G101*AP101</f>
        <v>0</v>
      </c>
      <c r="BJ101" s="53">
        <f>G101*H101</f>
        <v>0</v>
      </c>
      <c r="BK101" s="53"/>
      <c r="BL101" s="53"/>
      <c r="BW101" s="53">
        <v>21</v>
      </c>
      <c r="BX101" s="3" t="s">
        <v>396</v>
      </c>
    </row>
    <row r="102" spans="1:76" ht="14.4" x14ac:dyDescent="0.3">
      <c r="A102" s="1" t="s">
        <v>397</v>
      </c>
      <c r="B102" s="2" t="s">
        <v>274</v>
      </c>
      <c r="C102" s="2" t="s">
        <v>398</v>
      </c>
      <c r="D102" s="62" t="s">
        <v>399</v>
      </c>
      <c r="E102" s="63"/>
      <c r="F102" s="2" t="s">
        <v>202</v>
      </c>
      <c r="G102" s="53">
        <v>165</v>
      </c>
      <c r="H102" s="53">
        <v>0</v>
      </c>
      <c r="I102" s="53">
        <f>G102*H102</f>
        <v>0</v>
      </c>
      <c r="J102" s="54" t="s">
        <v>141</v>
      </c>
      <c r="K102" s="49"/>
      <c r="Z102" s="53">
        <f>IF(AQ102="5",BJ102,0)</f>
        <v>0</v>
      </c>
      <c r="AB102" s="53">
        <f>IF(AQ102="1",BH102,0)</f>
        <v>0</v>
      </c>
      <c r="AC102" s="53">
        <f>IF(AQ102="1",BI102,0)</f>
        <v>0</v>
      </c>
      <c r="AD102" s="53">
        <f>IF(AQ102="7",BH102,0)</f>
        <v>0</v>
      </c>
      <c r="AE102" s="53">
        <f>IF(AQ102="7",BI102,0)</f>
        <v>0</v>
      </c>
      <c r="AF102" s="53">
        <f>IF(AQ102="2",BH102,0)</f>
        <v>0</v>
      </c>
      <c r="AG102" s="53">
        <f>IF(AQ102="2",BI102,0)</f>
        <v>0</v>
      </c>
      <c r="AH102" s="53">
        <f>IF(AQ102="0",BJ102,0)</f>
        <v>0</v>
      </c>
      <c r="AI102" s="36" t="s">
        <v>274</v>
      </c>
      <c r="AJ102" s="53">
        <f>IF(AN102=0,I102,0)</f>
        <v>0</v>
      </c>
      <c r="AK102" s="53">
        <f>IF(AN102=12,I102,0)</f>
        <v>0</v>
      </c>
      <c r="AL102" s="53">
        <f>IF(AN102=21,I102,0)</f>
        <v>0</v>
      </c>
      <c r="AN102" s="53">
        <v>21</v>
      </c>
      <c r="AO102" s="53">
        <f>H102*1</f>
        <v>0</v>
      </c>
      <c r="AP102" s="53">
        <f>H102*(1-1)</f>
        <v>0</v>
      </c>
      <c r="AQ102" s="54" t="s">
        <v>119</v>
      </c>
      <c r="AV102" s="53">
        <f>AW102+AX102</f>
        <v>0</v>
      </c>
      <c r="AW102" s="53">
        <f>G102*AO102</f>
        <v>0</v>
      </c>
      <c r="AX102" s="53">
        <f>G102*AP102</f>
        <v>0</v>
      </c>
      <c r="AY102" s="54" t="s">
        <v>392</v>
      </c>
      <c r="AZ102" s="54" t="s">
        <v>393</v>
      </c>
      <c r="BA102" s="36" t="s">
        <v>282</v>
      </c>
      <c r="BC102" s="53">
        <f>AW102+AX102</f>
        <v>0</v>
      </c>
      <c r="BD102" s="53">
        <f>H102/(100-BE102)*100</f>
        <v>0</v>
      </c>
      <c r="BE102" s="53">
        <v>0</v>
      </c>
      <c r="BF102" s="53">
        <f>102</f>
        <v>102</v>
      </c>
      <c r="BH102" s="53">
        <f>G102*AO102</f>
        <v>0</v>
      </c>
      <c r="BI102" s="53">
        <f>G102*AP102</f>
        <v>0</v>
      </c>
      <c r="BJ102" s="53">
        <f>G102*H102</f>
        <v>0</v>
      </c>
      <c r="BK102" s="53"/>
      <c r="BL102" s="53"/>
      <c r="BW102" s="53">
        <v>21</v>
      </c>
      <c r="BX102" s="3" t="s">
        <v>399</v>
      </c>
    </row>
    <row r="103" spans="1:76" ht="14.4" x14ac:dyDescent="0.3">
      <c r="A103" s="1" t="s">
        <v>400</v>
      </c>
      <c r="B103" s="2" t="s">
        <v>274</v>
      </c>
      <c r="C103" s="2" t="s">
        <v>401</v>
      </c>
      <c r="D103" s="62" t="s">
        <v>402</v>
      </c>
      <c r="E103" s="63"/>
      <c r="F103" s="2" t="s">
        <v>191</v>
      </c>
      <c r="G103" s="53">
        <v>165</v>
      </c>
      <c r="H103" s="53">
        <v>0</v>
      </c>
      <c r="I103" s="53">
        <f>G103*H103</f>
        <v>0</v>
      </c>
      <c r="J103" s="54" t="s">
        <v>141</v>
      </c>
      <c r="K103" s="49"/>
      <c r="Z103" s="53">
        <f>IF(AQ103="5",BJ103,0)</f>
        <v>0</v>
      </c>
      <c r="AB103" s="53">
        <f>IF(AQ103="1",BH103,0)</f>
        <v>0</v>
      </c>
      <c r="AC103" s="53">
        <f>IF(AQ103="1",BI103,0)</f>
        <v>0</v>
      </c>
      <c r="AD103" s="53">
        <f>IF(AQ103="7",BH103,0)</f>
        <v>0</v>
      </c>
      <c r="AE103" s="53">
        <f>IF(AQ103="7",BI103,0)</f>
        <v>0</v>
      </c>
      <c r="AF103" s="53">
        <f>IF(AQ103="2",BH103,0)</f>
        <v>0</v>
      </c>
      <c r="AG103" s="53">
        <f>IF(AQ103="2",BI103,0)</f>
        <v>0</v>
      </c>
      <c r="AH103" s="53">
        <f>IF(AQ103="0",BJ103,0)</f>
        <v>0</v>
      </c>
      <c r="AI103" s="36" t="s">
        <v>274</v>
      </c>
      <c r="AJ103" s="53">
        <f>IF(AN103=0,I103,0)</f>
        <v>0</v>
      </c>
      <c r="AK103" s="53">
        <f>IF(AN103=12,I103,0)</f>
        <v>0</v>
      </c>
      <c r="AL103" s="53">
        <f>IF(AN103=21,I103,0)</f>
        <v>0</v>
      </c>
      <c r="AN103" s="53">
        <v>21</v>
      </c>
      <c r="AO103" s="53">
        <f>H103*1</f>
        <v>0</v>
      </c>
      <c r="AP103" s="53">
        <f>H103*(1-1)</f>
        <v>0</v>
      </c>
      <c r="AQ103" s="54" t="s">
        <v>119</v>
      </c>
      <c r="AV103" s="53">
        <f>AW103+AX103</f>
        <v>0</v>
      </c>
      <c r="AW103" s="53">
        <f>G103*AO103</f>
        <v>0</v>
      </c>
      <c r="AX103" s="53">
        <f>G103*AP103</f>
        <v>0</v>
      </c>
      <c r="AY103" s="54" t="s">
        <v>392</v>
      </c>
      <c r="AZ103" s="54" t="s">
        <v>393</v>
      </c>
      <c r="BA103" s="36" t="s">
        <v>282</v>
      </c>
      <c r="BC103" s="53">
        <f>AW103+AX103</f>
        <v>0</v>
      </c>
      <c r="BD103" s="53">
        <f>H103/(100-BE103)*100</f>
        <v>0</v>
      </c>
      <c r="BE103" s="53">
        <v>0</v>
      </c>
      <c r="BF103" s="53">
        <f>103</f>
        <v>103</v>
      </c>
      <c r="BH103" s="53">
        <f>G103*AO103</f>
        <v>0</v>
      </c>
      <c r="BI103" s="53">
        <f>G103*AP103</f>
        <v>0</v>
      </c>
      <c r="BJ103" s="53">
        <f>G103*H103</f>
        <v>0</v>
      </c>
      <c r="BK103" s="53"/>
      <c r="BL103" s="53"/>
      <c r="BW103" s="53">
        <v>21</v>
      </c>
      <c r="BX103" s="3" t="s">
        <v>402</v>
      </c>
    </row>
    <row r="104" spans="1:76" ht="14.4" x14ac:dyDescent="0.3">
      <c r="A104" s="50" t="s">
        <v>10</v>
      </c>
      <c r="B104" s="51" t="s">
        <v>403</v>
      </c>
      <c r="C104" s="51" t="s">
        <v>10</v>
      </c>
      <c r="D104" s="133" t="s">
        <v>404</v>
      </c>
      <c r="E104" s="134"/>
      <c r="F104" s="52" t="s">
        <v>80</v>
      </c>
      <c r="G104" s="52" t="s">
        <v>80</v>
      </c>
      <c r="H104" s="52" t="s">
        <v>80</v>
      </c>
      <c r="I104" s="28">
        <f>I105+I107+I109+I115+I118+I120+I126+I132+I134+I140</f>
        <v>0</v>
      </c>
      <c r="J104" s="36" t="s">
        <v>10</v>
      </c>
      <c r="K104" s="49"/>
    </row>
    <row r="105" spans="1:76" ht="14.4" x14ac:dyDescent="0.3">
      <c r="A105" s="50" t="s">
        <v>10</v>
      </c>
      <c r="B105" s="51" t="s">
        <v>403</v>
      </c>
      <c r="C105" s="51" t="s">
        <v>119</v>
      </c>
      <c r="D105" s="133" t="s">
        <v>120</v>
      </c>
      <c r="E105" s="134"/>
      <c r="F105" s="52" t="s">
        <v>80</v>
      </c>
      <c r="G105" s="52" t="s">
        <v>80</v>
      </c>
      <c r="H105" s="52" t="s">
        <v>80</v>
      </c>
      <c r="I105" s="28">
        <f>SUM(I106:I106)</f>
        <v>0</v>
      </c>
      <c r="J105" s="36" t="s">
        <v>10</v>
      </c>
      <c r="K105" s="49"/>
      <c r="AI105" s="36" t="s">
        <v>403</v>
      </c>
      <c r="AS105" s="28">
        <f>SUM(AJ106:AJ106)</f>
        <v>0</v>
      </c>
      <c r="AT105" s="28">
        <f>SUM(AK106:AK106)</f>
        <v>0</v>
      </c>
      <c r="AU105" s="28">
        <f>SUM(AL106:AL106)</f>
        <v>0</v>
      </c>
    </row>
    <row r="106" spans="1:76" ht="14.4" x14ac:dyDescent="0.3">
      <c r="A106" s="1" t="s">
        <v>283</v>
      </c>
      <c r="B106" s="2" t="s">
        <v>403</v>
      </c>
      <c r="C106" s="2" t="s">
        <v>405</v>
      </c>
      <c r="D106" s="62" t="s">
        <v>406</v>
      </c>
      <c r="E106" s="63"/>
      <c r="F106" s="2" t="s">
        <v>407</v>
      </c>
      <c r="G106" s="53">
        <v>4</v>
      </c>
      <c r="H106" s="53">
        <v>0</v>
      </c>
      <c r="I106" s="53">
        <f>G106*H106</f>
        <v>0</v>
      </c>
      <c r="J106" s="54" t="s">
        <v>10</v>
      </c>
      <c r="K106" s="49"/>
      <c r="Z106" s="53">
        <f>IF(AQ106="5",BJ106,0)</f>
        <v>0</v>
      </c>
      <c r="AB106" s="53">
        <f>IF(AQ106="1",BH106,0)</f>
        <v>0</v>
      </c>
      <c r="AC106" s="53">
        <f>IF(AQ106="1",BI106,0)</f>
        <v>0</v>
      </c>
      <c r="AD106" s="53">
        <f>IF(AQ106="7",BH106,0)</f>
        <v>0</v>
      </c>
      <c r="AE106" s="53">
        <f>IF(AQ106="7",BI106,0)</f>
        <v>0</v>
      </c>
      <c r="AF106" s="53">
        <f>IF(AQ106="2",BH106,0)</f>
        <v>0</v>
      </c>
      <c r="AG106" s="53">
        <f>IF(AQ106="2",BI106,0)</f>
        <v>0</v>
      </c>
      <c r="AH106" s="53">
        <f>IF(AQ106="0",BJ106,0)</f>
        <v>0</v>
      </c>
      <c r="AI106" s="36" t="s">
        <v>403</v>
      </c>
      <c r="AJ106" s="53">
        <f>IF(AN106=0,I106,0)</f>
        <v>0</v>
      </c>
      <c r="AK106" s="53">
        <f>IF(AN106=12,I106,0)</f>
        <v>0</v>
      </c>
      <c r="AL106" s="53">
        <f>IF(AN106=21,I106,0)</f>
        <v>0</v>
      </c>
      <c r="AN106" s="53">
        <v>21</v>
      </c>
      <c r="AO106" s="53">
        <f>H106*0</f>
        <v>0</v>
      </c>
      <c r="AP106" s="53">
        <f>H106*(1-0)</f>
        <v>0</v>
      </c>
      <c r="AQ106" s="54" t="s">
        <v>121</v>
      </c>
      <c r="AV106" s="53">
        <f>AW106+AX106</f>
        <v>0</v>
      </c>
      <c r="AW106" s="53">
        <f>G106*AO106</f>
        <v>0</v>
      </c>
      <c r="AX106" s="53">
        <f>G106*AP106</f>
        <v>0</v>
      </c>
      <c r="AY106" s="54" t="s">
        <v>125</v>
      </c>
      <c r="AZ106" s="54" t="s">
        <v>408</v>
      </c>
      <c r="BA106" s="36" t="s">
        <v>409</v>
      </c>
      <c r="BC106" s="53">
        <f>AW106+AX106</f>
        <v>0</v>
      </c>
      <c r="BD106" s="53">
        <f>H106/(100-BE106)*100</f>
        <v>0</v>
      </c>
      <c r="BE106" s="53">
        <v>0</v>
      </c>
      <c r="BF106" s="53">
        <f>106</f>
        <v>106</v>
      </c>
      <c r="BH106" s="53">
        <f>G106*AO106</f>
        <v>0</v>
      </c>
      <c r="BI106" s="53">
        <f>G106*AP106</f>
        <v>0</v>
      </c>
      <c r="BJ106" s="53">
        <f>G106*H106</f>
        <v>0</v>
      </c>
      <c r="BK106" s="53"/>
      <c r="BL106" s="53">
        <v>0</v>
      </c>
      <c r="BW106" s="53">
        <v>21</v>
      </c>
      <c r="BX106" s="3" t="s">
        <v>406</v>
      </c>
    </row>
    <row r="107" spans="1:76" ht="14.4" x14ac:dyDescent="0.3">
      <c r="A107" s="50" t="s">
        <v>10</v>
      </c>
      <c r="B107" s="51" t="s">
        <v>403</v>
      </c>
      <c r="C107" s="51" t="s">
        <v>307</v>
      </c>
      <c r="D107" s="133" t="s">
        <v>410</v>
      </c>
      <c r="E107" s="134"/>
      <c r="F107" s="52" t="s">
        <v>80</v>
      </c>
      <c r="G107" s="52" t="s">
        <v>80</v>
      </c>
      <c r="H107" s="52" t="s">
        <v>80</v>
      </c>
      <c r="I107" s="28">
        <f>SUM(I108:I108)</f>
        <v>0</v>
      </c>
      <c r="J107" s="36" t="s">
        <v>10</v>
      </c>
      <c r="K107" s="49"/>
      <c r="AI107" s="36" t="s">
        <v>403</v>
      </c>
      <c r="AS107" s="28">
        <f>SUM(AJ108:AJ108)</f>
        <v>0</v>
      </c>
      <c r="AT107" s="28">
        <f>SUM(AK108:AK108)</f>
        <v>0</v>
      </c>
      <c r="AU107" s="28">
        <f>SUM(AL108:AL108)</f>
        <v>0</v>
      </c>
    </row>
    <row r="108" spans="1:76" ht="14.4" x14ac:dyDescent="0.3">
      <c r="A108" s="1" t="s">
        <v>411</v>
      </c>
      <c r="B108" s="2" t="s">
        <v>403</v>
      </c>
      <c r="C108" s="2" t="s">
        <v>412</v>
      </c>
      <c r="D108" s="62" t="s">
        <v>413</v>
      </c>
      <c r="E108" s="63"/>
      <c r="F108" s="2" t="s">
        <v>191</v>
      </c>
      <c r="G108" s="53">
        <v>38</v>
      </c>
      <c r="H108" s="53">
        <v>0</v>
      </c>
      <c r="I108" s="53">
        <f>G108*H108</f>
        <v>0</v>
      </c>
      <c r="J108" s="54" t="s">
        <v>141</v>
      </c>
      <c r="K108" s="49"/>
      <c r="Z108" s="53">
        <f>IF(AQ108="5",BJ108,0)</f>
        <v>0</v>
      </c>
      <c r="AB108" s="53">
        <f>IF(AQ108="1",BH108,0)</f>
        <v>0</v>
      </c>
      <c r="AC108" s="53">
        <f>IF(AQ108="1",BI108,0)</f>
        <v>0</v>
      </c>
      <c r="AD108" s="53">
        <f>IF(AQ108="7",BH108,0)</f>
        <v>0</v>
      </c>
      <c r="AE108" s="53">
        <f>IF(AQ108="7",BI108,0)</f>
        <v>0</v>
      </c>
      <c r="AF108" s="53">
        <f>IF(AQ108="2",BH108,0)</f>
        <v>0</v>
      </c>
      <c r="AG108" s="53">
        <f>IF(AQ108="2",BI108,0)</f>
        <v>0</v>
      </c>
      <c r="AH108" s="53">
        <f>IF(AQ108="0",BJ108,0)</f>
        <v>0</v>
      </c>
      <c r="AI108" s="36" t="s">
        <v>403</v>
      </c>
      <c r="AJ108" s="53">
        <f>IF(AN108=0,I108,0)</f>
        <v>0</v>
      </c>
      <c r="AK108" s="53">
        <f>IF(AN108=12,I108,0)</f>
        <v>0</v>
      </c>
      <c r="AL108" s="53">
        <f>IF(AN108=21,I108,0)</f>
        <v>0</v>
      </c>
      <c r="AN108" s="53">
        <v>21</v>
      </c>
      <c r="AO108" s="53">
        <f>H108*0.258971142</f>
        <v>0</v>
      </c>
      <c r="AP108" s="53">
        <f>H108*(1-0.258971142)</f>
        <v>0</v>
      </c>
      <c r="AQ108" s="54" t="s">
        <v>121</v>
      </c>
      <c r="AV108" s="53">
        <f>AW108+AX108</f>
        <v>0</v>
      </c>
      <c r="AW108" s="53">
        <f>G108*AO108</f>
        <v>0</v>
      </c>
      <c r="AX108" s="53">
        <f>G108*AP108</f>
        <v>0</v>
      </c>
      <c r="AY108" s="54" t="s">
        <v>414</v>
      </c>
      <c r="AZ108" s="54" t="s">
        <v>415</v>
      </c>
      <c r="BA108" s="36" t="s">
        <v>409</v>
      </c>
      <c r="BC108" s="53">
        <f>AW108+AX108</f>
        <v>0</v>
      </c>
      <c r="BD108" s="53">
        <f>H108/(100-BE108)*100</f>
        <v>0</v>
      </c>
      <c r="BE108" s="53">
        <v>0</v>
      </c>
      <c r="BF108" s="53">
        <f>108</f>
        <v>108</v>
      </c>
      <c r="BH108" s="53">
        <f>G108*AO108</f>
        <v>0</v>
      </c>
      <c r="BI108" s="53">
        <f>G108*AP108</f>
        <v>0</v>
      </c>
      <c r="BJ108" s="53">
        <f>G108*H108</f>
        <v>0</v>
      </c>
      <c r="BK108" s="53"/>
      <c r="BL108" s="53">
        <v>38</v>
      </c>
      <c r="BW108" s="53">
        <v>21</v>
      </c>
      <c r="BX108" s="3" t="s">
        <v>413</v>
      </c>
    </row>
    <row r="109" spans="1:76" ht="14.4" x14ac:dyDescent="0.3">
      <c r="A109" s="50" t="s">
        <v>10</v>
      </c>
      <c r="B109" s="51" t="s">
        <v>403</v>
      </c>
      <c r="C109" s="51" t="s">
        <v>243</v>
      </c>
      <c r="D109" s="133" t="s">
        <v>244</v>
      </c>
      <c r="E109" s="134"/>
      <c r="F109" s="52" t="s">
        <v>80</v>
      </c>
      <c r="G109" s="52" t="s">
        <v>80</v>
      </c>
      <c r="H109" s="52" t="s">
        <v>80</v>
      </c>
      <c r="I109" s="28">
        <f>SUM(I110:I114)</f>
        <v>0</v>
      </c>
      <c r="J109" s="36" t="s">
        <v>10</v>
      </c>
      <c r="K109" s="49"/>
      <c r="AI109" s="36" t="s">
        <v>403</v>
      </c>
      <c r="AS109" s="28">
        <f>SUM(AJ110:AJ114)</f>
        <v>0</v>
      </c>
      <c r="AT109" s="28">
        <f>SUM(AK110:AK114)</f>
        <v>0</v>
      </c>
      <c r="AU109" s="28">
        <f>SUM(AL110:AL114)</f>
        <v>0</v>
      </c>
    </row>
    <row r="110" spans="1:76" ht="14.4" x14ac:dyDescent="0.3">
      <c r="A110" s="1" t="s">
        <v>416</v>
      </c>
      <c r="B110" s="2" t="s">
        <v>403</v>
      </c>
      <c r="C110" s="2" t="s">
        <v>417</v>
      </c>
      <c r="D110" s="62" t="s">
        <v>418</v>
      </c>
      <c r="E110" s="63"/>
      <c r="F110" s="2" t="s">
        <v>202</v>
      </c>
      <c r="G110" s="53">
        <v>4</v>
      </c>
      <c r="H110" s="53">
        <v>0</v>
      </c>
      <c r="I110" s="53">
        <f>G110*H110</f>
        <v>0</v>
      </c>
      <c r="J110" s="54" t="s">
        <v>141</v>
      </c>
      <c r="K110" s="49"/>
      <c r="Z110" s="53">
        <f>IF(AQ110="5",BJ110,0)</f>
        <v>0</v>
      </c>
      <c r="AB110" s="53">
        <f>IF(AQ110="1",BH110,0)</f>
        <v>0</v>
      </c>
      <c r="AC110" s="53">
        <f>IF(AQ110="1",BI110,0)</f>
        <v>0</v>
      </c>
      <c r="AD110" s="53">
        <f>IF(AQ110="7",BH110,0)</f>
        <v>0</v>
      </c>
      <c r="AE110" s="53">
        <f>IF(AQ110="7",BI110,0)</f>
        <v>0</v>
      </c>
      <c r="AF110" s="53">
        <f>IF(AQ110="2",BH110,0)</f>
        <v>0</v>
      </c>
      <c r="AG110" s="53">
        <f>IF(AQ110="2",BI110,0)</f>
        <v>0</v>
      </c>
      <c r="AH110" s="53">
        <f>IF(AQ110="0",BJ110,0)</f>
        <v>0</v>
      </c>
      <c r="AI110" s="36" t="s">
        <v>403</v>
      </c>
      <c r="AJ110" s="53">
        <f>IF(AN110=0,I110,0)</f>
        <v>0</v>
      </c>
      <c r="AK110" s="53">
        <f>IF(AN110=12,I110,0)</f>
        <v>0</v>
      </c>
      <c r="AL110" s="53">
        <f>IF(AN110=21,I110,0)</f>
        <v>0</v>
      </c>
      <c r="AN110" s="53">
        <v>21</v>
      </c>
      <c r="AO110" s="53">
        <f>H110*0.906871012</f>
        <v>0</v>
      </c>
      <c r="AP110" s="53">
        <f>H110*(1-0.906871012)</f>
        <v>0</v>
      </c>
      <c r="AQ110" s="54" t="s">
        <v>154</v>
      </c>
      <c r="AV110" s="53">
        <f>AW110+AX110</f>
        <v>0</v>
      </c>
      <c r="AW110" s="53">
        <f>G110*AO110</f>
        <v>0</v>
      </c>
      <c r="AX110" s="53">
        <f>G110*AP110</f>
        <v>0</v>
      </c>
      <c r="AY110" s="54" t="s">
        <v>248</v>
      </c>
      <c r="AZ110" s="54" t="s">
        <v>419</v>
      </c>
      <c r="BA110" s="36" t="s">
        <v>409</v>
      </c>
      <c r="BC110" s="53">
        <f>AW110+AX110</f>
        <v>0</v>
      </c>
      <c r="BD110" s="53">
        <f>H110/(100-BE110)*100</f>
        <v>0</v>
      </c>
      <c r="BE110" s="53">
        <v>0</v>
      </c>
      <c r="BF110" s="53">
        <f>110</f>
        <v>110</v>
      </c>
      <c r="BH110" s="53">
        <f>G110*AO110</f>
        <v>0</v>
      </c>
      <c r="BI110" s="53">
        <f>G110*AP110</f>
        <v>0</v>
      </c>
      <c r="BJ110" s="53">
        <f>G110*H110</f>
        <v>0</v>
      </c>
      <c r="BK110" s="53"/>
      <c r="BL110" s="53">
        <v>721</v>
      </c>
      <c r="BW110" s="53">
        <v>21</v>
      </c>
      <c r="BX110" s="3" t="s">
        <v>418</v>
      </c>
    </row>
    <row r="111" spans="1:76" ht="14.4" x14ac:dyDescent="0.3">
      <c r="A111" s="1" t="s">
        <v>420</v>
      </c>
      <c r="B111" s="2" t="s">
        <v>403</v>
      </c>
      <c r="C111" s="2" t="s">
        <v>421</v>
      </c>
      <c r="D111" s="62" t="s">
        <v>422</v>
      </c>
      <c r="E111" s="63"/>
      <c r="F111" s="2" t="s">
        <v>202</v>
      </c>
      <c r="G111" s="53">
        <v>7</v>
      </c>
      <c r="H111" s="53">
        <v>0</v>
      </c>
      <c r="I111" s="53">
        <f>G111*H111</f>
        <v>0</v>
      </c>
      <c r="J111" s="54" t="s">
        <v>141</v>
      </c>
      <c r="K111" s="49"/>
      <c r="Z111" s="53">
        <f>IF(AQ111="5",BJ111,0)</f>
        <v>0</v>
      </c>
      <c r="AB111" s="53">
        <f>IF(AQ111="1",BH111,0)</f>
        <v>0</v>
      </c>
      <c r="AC111" s="53">
        <f>IF(AQ111="1",BI111,0)</f>
        <v>0</v>
      </c>
      <c r="AD111" s="53">
        <f>IF(AQ111="7",BH111,0)</f>
        <v>0</v>
      </c>
      <c r="AE111" s="53">
        <f>IF(AQ111="7",BI111,0)</f>
        <v>0</v>
      </c>
      <c r="AF111" s="53">
        <f>IF(AQ111="2",BH111,0)</f>
        <v>0</v>
      </c>
      <c r="AG111" s="53">
        <f>IF(AQ111="2",BI111,0)</f>
        <v>0</v>
      </c>
      <c r="AH111" s="53">
        <f>IF(AQ111="0",BJ111,0)</f>
        <v>0</v>
      </c>
      <c r="AI111" s="36" t="s">
        <v>403</v>
      </c>
      <c r="AJ111" s="53">
        <f>IF(AN111=0,I111,0)</f>
        <v>0</v>
      </c>
      <c r="AK111" s="53">
        <f>IF(AN111=12,I111,0)</f>
        <v>0</v>
      </c>
      <c r="AL111" s="53">
        <f>IF(AN111=21,I111,0)</f>
        <v>0</v>
      </c>
      <c r="AN111" s="53">
        <v>21</v>
      </c>
      <c r="AO111" s="53">
        <f>H111*0.960708988</f>
        <v>0</v>
      </c>
      <c r="AP111" s="53">
        <f>H111*(1-0.960708988)</f>
        <v>0</v>
      </c>
      <c r="AQ111" s="54" t="s">
        <v>154</v>
      </c>
      <c r="AV111" s="53">
        <f>AW111+AX111</f>
        <v>0</v>
      </c>
      <c r="AW111" s="53">
        <f>G111*AO111</f>
        <v>0</v>
      </c>
      <c r="AX111" s="53">
        <f>G111*AP111</f>
        <v>0</v>
      </c>
      <c r="AY111" s="54" t="s">
        <v>248</v>
      </c>
      <c r="AZ111" s="54" t="s">
        <v>419</v>
      </c>
      <c r="BA111" s="36" t="s">
        <v>409</v>
      </c>
      <c r="BC111" s="53">
        <f>AW111+AX111</f>
        <v>0</v>
      </c>
      <c r="BD111" s="53">
        <f>H111/(100-BE111)*100</f>
        <v>0</v>
      </c>
      <c r="BE111" s="53">
        <v>0</v>
      </c>
      <c r="BF111" s="53">
        <f>111</f>
        <v>111</v>
      </c>
      <c r="BH111" s="53">
        <f>G111*AO111</f>
        <v>0</v>
      </c>
      <c r="BI111" s="53">
        <f>G111*AP111</f>
        <v>0</v>
      </c>
      <c r="BJ111" s="53">
        <f>G111*H111</f>
        <v>0</v>
      </c>
      <c r="BK111" s="53"/>
      <c r="BL111" s="53">
        <v>721</v>
      </c>
      <c r="BW111" s="53">
        <v>21</v>
      </c>
      <c r="BX111" s="3" t="s">
        <v>422</v>
      </c>
    </row>
    <row r="112" spans="1:76" ht="26.4" x14ac:dyDescent="0.3">
      <c r="A112" s="1" t="s">
        <v>423</v>
      </c>
      <c r="B112" s="2" t="s">
        <v>403</v>
      </c>
      <c r="C112" s="2" t="s">
        <v>424</v>
      </c>
      <c r="D112" s="62" t="s">
        <v>425</v>
      </c>
      <c r="E112" s="63"/>
      <c r="F112" s="2" t="s">
        <v>202</v>
      </c>
      <c r="G112" s="53">
        <v>7</v>
      </c>
      <c r="H112" s="53">
        <v>0</v>
      </c>
      <c r="I112" s="53">
        <f>G112*H112</f>
        <v>0</v>
      </c>
      <c r="J112" s="54" t="s">
        <v>141</v>
      </c>
      <c r="K112" s="49"/>
      <c r="Z112" s="53">
        <f>IF(AQ112="5",BJ112,0)</f>
        <v>0</v>
      </c>
      <c r="AB112" s="53">
        <f>IF(AQ112="1",BH112,0)</f>
        <v>0</v>
      </c>
      <c r="AC112" s="53">
        <f>IF(AQ112="1",BI112,0)</f>
        <v>0</v>
      </c>
      <c r="AD112" s="53">
        <f>IF(AQ112="7",BH112,0)</f>
        <v>0</v>
      </c>
      <c r="AE112" s="53">
        <f>IF(AQ112="7",BI112,0)</f>
        <v>0</v>
      </c>
      <c r="AF112" s="53">
        <f>IF(AQ112="2",BH112,0)</f>
        <v>0</v>
      </c>
      <c r="AG112" s="53">
        <f>IF(AQ112="2",BI112,0)</f>
        <v>0</v>
      </c>
      <c r="AH112" s="53">
        <f>IF(AQ112="0",BJ112,0)</f>
        <v>0</v>
      </c>
      <c r="AI112" s="36" t="s">
        <v>403</v>
      </c>
      <c r="AJ112" s="53">
        <f>IF(AN112=0,I112,0)</f>
        <v>0</v>
      </c>
      <c r="AK112" s="53">
        <f>IF(AN112=12,I112,0)</f>
        <v>0</v>
      </c>
      <c r="AL112" s="53">
        <f>IF(AN112=21,I112,0)</f>
        <v>0</v>
      </c>
      <c r="AN112" s="53">
        <v>21</v>
      </c>
      <c r="AO112" s="53">
        <f>H112*0.203921739</f>
        <v>0</v>
      </c>
      <c r="AP112" s="53">
        <f>H112*(1-0.203921739)</f>
        <v>0</v>
      </c>
      <c r="AQ112" s="54" t="s">
        <v>154</v>
      </c>
      <c r="AV112" s="53">
        <f>AW112+AX112</f>
        <v>0</v>
      </c>
      <c r="AW112" s="53">
        <f>G112*AO112</f>
        <v>0</v>
      </c>
      <c r="AX112" s="53">
        <f>G112*AP112</f>
        <v>0</v>
      </c>
      <c r="AY112" s="54" t="s">
        <v>248</v>
      </c>
      <c r="AZ112" s="54" t="s">
        <v>419</v>
      </c>
      <c r="BA112" s="36" t="s">
        <v>409</v>
      </c>
      <c r="BC112" s="53">
        <f>AW112+AX112</f>
        <v>0</v>
      </c>
      <c r="BD112" s="53">
        <f>H112/(100-BE112)*100</f>
        <v>0</v>
      </c>
      <c r="BE112" s="53">
        <v>0</v>
      </c>
      <c r="BF112" s="53">
        <f>112</f>
        <v>112</v>
      </c>
      <c r="BH112" s="53">
        <f>G112*AO112</f>
        <v>0</v>
      </c>
      <c r="BI112" s="53">
        <f>G112*AP112</f>
        <v>0</v>
      </c>
      <c r="BJ112" s="53">
        <f>G112*H112</f>
        <v>0</v>
      </c>
      <c r="BK112" s="53"/>
      <c r="BL112" s="53">
        <v>721</v>
      </c>
      <c r="BW112" s="53">
        <v>21</v>
      </c>
      <c r="BX112" s="3" t="s">
        <v>425</v>
      </c>
    </row>
    <row r="113" spans="1:76" ht="14.4" x14ac:dyDescent="0.3">
      <c r="A113" s="1" t="s">
        <v>426</v>
      </c>
      <c r="B113" s="2" t="s">
        <v>403</v>
      </c>
      <c r="C113" s="2" t="s">
        <v>427</v>
      </c>
      <c r="D113" s="62" t="s">
        <v>428</v>
      </c>
      <c r="E113" s="63"/>
      <c r="F113" s="2" t="s">
        <v>191</v>
      </c>
      <c r="G113" s="53">
        <v>4</v>
      </c>
      <c r="H113" s="53">
        <v>0</v>
      </c>
      <c r="I113" s="53">
        <f>G113*H113</f>
        <v>0</v>
      </c>
      <c r="J113" s="54" t="s">
        <v>141</v>
      </c>
      <c r="K113" s="49"/>
      <c r="Z113" s="53">
        <f>IF(AQ113="5",BJ113,0)</f>
        <v>0</v>
      </c>
      <c r="AB113" s="53">
        <f>IF(AQ113="1",BH113,0)</f>
        <v>0</v>
      </c>
      <c r="AC113" s="53">
        <f>IF(AQ113="1",BI113,0)</f>
        <v>0</v>
      </c>
      <c r="AD113" s="53">
        <f>IF(AQ113="7",BH113,0)</f>
        <v>0</v>
      </c>
      <c r="AE113" s="53">
        <f>IF(AQ113="7",BI113,0)</f>
        <v>0</v>
      </c>
      <c r="AF113" s="53">
        <f>IF(AQ113="2",BH113,0)</f>
        <v>0</v>
      </c>
      <c r="AG113" s="53">
        <f>IF(AQ113="2",BI113,0)</f>
        <v>0</v>
      </c>
      <c r="AH113" s="53">
        <f>IF(AQ113="0",BJ113,0)</f>
        <v>0</v>
      </c>
      <c r="AI113" s="36" t="s">
        <v>403</v>
      </c>
      <c r="AJ113" s="53">
        <f>IF(AN113=0,I113,0)</f>
        <v>0</v>
      </c>
      <c r="AK113" s="53">
        <f>IF(AN113=12,I113,0)</f>
        <v>0</v>
      </c>
      <c r="AL113" s="53">
        <f>IF(AN113=21,I113,0)</f>
        <v>0</v>
      </c>
      <c r="AN113" s="53">
        <v>21</v>
      </c>
      <c r="AO113" s="53">
        <f>H113*0.497673462</f>
        <v>0</v>
      </c>
      <c r="AP113" s="53">
        <f>H113*(1-0.497673462)</f>
        <v>0</v>
      </c>
      <c r="AQ113" s="54" t="s">
        <v>154</v>
      </c>
      <c r="AV113" s="53">
        <f>AW113+AX113</f>
        <v>0</v>
      </c>
      <c r="AW113" s="53">
        <f>G113*AO113</f>
        <v>0</v>
      </c>
      <c r="AX113" s="53">
        <f>G113*AP113</f>
        <v>0</v>
      </c>
      <c r="AY113" s="54" t="s">
        <v>248</v>
      </c>
      <c r="AZ113" s="54" t="s">
        <v>419</v>
      </c>
      <c r="BA113" s="36" t="s">
        <v>409</v>
      </c>
      <c r="BC113" s="53">
        <f>AW113+AX113</f>
        <v>0</v>
      </c>
      <c r="BD113" s="53">
        <f>H113/(100-BE113)*100</f>
        <v>0</v>
      </c>
      <c r="BE113" s="53">
        <v>0</v>
      </c>
      <c r="BF113" s="53">
        <f>113</f>
        <v>113</v>
      </c>
      <c r="BH113" s="53">
        <f>G113*AO113</f>
        <v>0</v>
      </c>
      <c r="BI113" s="53">
        <f>G113*AP113</f>
        <v>0</v>
      </c>
      <c r="BJ113" s="53">
        <f>G113*H113</f>
        <v>0</v>
      </c>
      <c r="BK113" s="53"/>
      <c r="BL113" s="53">
        <v>721</v>
      </c>
      <c r="BW113" s="53">
        <v>21</v>
      </c>
      <c r="BX113" s="3" t="s">
        <v>428</v>
      </c>
    </row>
    <row r="114" spans="1:76" ht="14.4" x14ac:dyDescent="0.3">
      <c r="A114" s="1" t="s">
        <v>429</v>
      </c>
      <c r="B114" s="2" t="s">
        <v>403</v>
      </c>
      <c r="C114" s="2" t="s">
        <v>430</v>
      </c>
      <c r="D114" s="62" t="s">
        <v>431</v>
      </c>
      <c r="E114" s="63"/>
      <c r="F114" s="2" t="s">
        <v>191</v>
      </c>
      <c r="G114" s="53">
        <v>5</v>
      </c>
      <c r="H114" s="53">
        <v>0</v>
      </c>
      <c r="I114" s="53">
        <f>G114*H114</f>
        <v>0</v>
      </c>
      <c r="J114" s="54" t="s">
        <v>149</v>
      </c>
      <c r="K114" s="49"/>
      <c r="Z114" s="53">
        <f>IF(AQ114="5",BJ114,0)</f>
        <v>0</v>
      </c>
      <c r="AB114" s="53">
        <f>IF(AQ114="1",BH114,0)</f>
        <v>0</v>
      </c>
      <c r="AC114" s="53">
        <f>IF(AQ114="1",BI114,0)</f>
        <v>0</v>
      </c>
      <c r="AD114" s="53">
        <f>IF(AQ114="7",BH114,0)</f>
        <v>0</v>
      </c>
      <c r="AE114" s="53">
        <f>IF(AQ114="7",BI114,0)</f>
        <v>0</v>
      </c>
      <c r="AF114" s="53">
        <f>IF(AQ114="2",BH114,0)</f>
        <v>0</v>
      </c>
      <c r="AG114" s="53">
        <f>IF(AQ114="2",BI114,0)</f>
        <v>0</v>
      </c>
      <c r="AH114" s="53">
        <f>IF(AQ114="0",BJ114,0)</f>
        <v>0</v>
      </c>
      <c r="AI114" s="36" t="s">
        <v>403</v>
      </c>
      <c r="AJ114" s="53">
        <f>IF(AN114=0,I114,0)</f>
        <v>0</v>
      </c>
      <c r="AK114" s="53">
        <f>IF(AN114=12,I114,0)</f>
        <v>0</v>
      </c>
      <c r="AL114" s="53">
        <f>IF(AN114=21,I114,0)</f>
        <v>0</v>
      </c>
      <c r="AN114" s="53">
        <v>21</v>
      </c>
      <c r="AO114" s="53">
        <f>H114*0.594556962</f>
        <v>0</v>
      </c>
      <c r="AP114" s="53">
        <f>H114*(1-0.594556962)</f>
        <v>0</v>
      </c>
      <c r="AQ114" s="54" t="s">
        <v>154</v>
      </c>
      <c r="AV114" s="53">
        <f>AW114+AX114</f>
        <v>0</v>
      </c>
      <c r="AW114" s="53">
        <f>G114*AO114</f>
        <v>0</v>
      </c>
      <c r="AX114" s="53">
        <f>G114*AP114</f>
        <v>0</v>
      </c>
      <c r="AY114" s="54" t="s">
        <v>248</v>
      </c>
      <c r="AZ114" s="54" t="s">
        <v>419</v>
      </c>
      <c r="BA114" s="36" t="s">
        <v>409</v>
      </c>
      <c r="BC114" s="53">
        <f>AW114+AX114</f>
        <v>0</v>
      </c>
      <c r="BD114" s="53">
        <f>H114/(100-BE114)*100</f>
        <v>0</v>
      </c>
      <c r="BE114" s="53">
        <v>0</v>
      </c>
      <c r="BF114" s="53">
        <f>114</f>
        <v>114</v>
      </c>
      <c r="BH114" s="53">
        <f>G114*AO114</f>
        <v>0</v>
      </c>
      <c r="BI114" s="53">
        <f>G114*AP114</f>
        <v>0</v>
      </c>
      <c r="BJ114" s="53">
        <f>G114*H114</f>
        <v>0</v>
      </c>
      <c r="BK114" s="53"/>
      <c r="BL114" s="53">
        <v>721</v>
      </c>
      <c r="BW114" s="53">
        <v>21</v>
      </c>
      <c r="BX114" s="3" t="s">
        <v>431</v>
      </c>
    </row>
    <row r="115" spans="1:76" ht="14.4" x14ac:dyDescent="0.3">
      <c r="A115" s="50" t="s">
        <v>10</v>
      </c>
      <c r="B115" s="51" t="s">
        <v>403</v>
      </c>
      <c r="C115" s="51" t="s">
        <v>251</v>
      </c>
      <c r="D115" s="133" t="s">
        <v>252</v>
      </c>
      <c r="E115" s="134"/>
      <c r="F115" s="52" t="s">
        <v>80</v>
      </c>
      <c r="G115" s="52" t="s">
        <v>80</v>
      </c>
      <c r="H115" s="52" t="s">
        <v>80</v>
      </c>
      <c r="I115" s="28">
        <f>SUM(I116:I117)</f>
        <v>0</v>
      </c>
      <c r="J115" s="36" t="s">
        <v>10</v>
      </c>
      <c r="K115" s="49"/>
      <c r="AI115" s="36" t="s">
        <v>403</v>
      </c>
      <c r="AS115" s="28">
        <f>SUM(AJ116:AJ117)</f>
        <v>0</v>
      </c>
      <c r="AT115" s="28">
        <f>SUM(AK116:AK117)</f>
        <v>0</v>
      </c>
      <c r="AU115" s="28">
        <f>SUM(AL116:AL117)</f>
        <v>0</v>
      </c>
    </row>
    <row r="116" spans="1:76" ht="14.4" x14ac:dyDescent="0.3">
      <c r="A116" s="1" t="s">
        <v>432</v>
      </c>
      <c r="B116" s="2" t="s">
        <v>403</v>
      </c>
      <c r="C116" s="2" t="s">
        <v>433</v>
      </c>
      <c r="D116" s="62" t="s">
        <v>434</v>
      </c>
      <c r="E116" s="63"/>
      <c r="F116" s="2" t="s">
        <v>191</v>
      </c>
      <c r="G116" s="53">
        <v>4</v>
      </c>
      <c r="H116" s="53">
        <v>0</v>
      </c>
      <c r="I116" s="53">
        <f>G116*H116</f>
        <v>0</v>
      </c>
      <c r="J116" s="54" t="s">
        <v>141</v>
      </c>
      <c r="K116" s="49"/>
      <c r="Z116" s="53">
        <f>IF(AQ116="5",BJ116,0)</f>
        <v>0</v>
      </c>
      <c r="AB116" s="53">
        <f>IF(AQ116="1",BH116,0)</f>
        <v>0</v>
      </c>
      <c r="AC116" s="53">
        <f>IF(AQ116="1",BI116,0)</f>
        <v>0</v>
      </c>
      <c r="AD116" s="53">
        <f>IF(AQ116="7",BH116,0)</f>
        <v>0</v>
      </c>
      <c r="AE116" s="53">
        <f>IF(AQ116="7",BI116,0)</f>
        <v>0</v>
      </c>
      <c r="AF116" s="53">
        <f>IF(AQ116="2",BH116,0)</f>
        <v>0</v>
      </c>
      <c r="AG116" s="53">
        <f>IF(AQ116="2",BI116,0)</f>
        <v>0</v>
      </c>
      <c r="AH116" s="53">
        <f>IF(AQ116="0",BJ116,0)</f>
        <v>0</v>
      </c>
      <c r="AI116" s="36" t="s">
        <v>403</v>
      </c>
      <c r="AJ116" s="53">
        <f>IF(AN116=0,I116,0)</f>
        <v>0</v>
      </c>
      <c r="AK116" s="53">
        <f>IF(AN116=12,I116,0)</f>
        <v>0</v>
      </c>
      <c r="AL116" s="53">
        <f>IF(AN116=21,I116,0)</f>
        <v>0</v>
      </c>
      <c r="AN116" s="53">
        <v>21</v>
      </c>
      <c r="AO116" s="53">
        <f>H116*0</f>
        <v>0</v>
      </c>
      <c r="AP116" s="53">
        <f>H116*(1-0)</f>
        <v>0</v>
      </c>
      <c r="AQ116" s="54" t="s">
        <v>154</v>
      </c>
      <c r="AV116" s="53">
        <f>AW116+AX116</f>
        <v>0</v>
      </c>
      <c r="AW116" s="53">
        <f>G116*AO116</f>
        <v>0</v>
      </c>
      <c r="AX116" s="53">
        <f>G116*AP116</f>
        <v>0</v>
      </c>
      <c r="AY116" s="54" t="s">
        <v>256</v>
      </c>
      <c r="AZ116" s="54" t="s">
        <v>419</v>
      </c>
      <c r="BA116" s="36" t="s">
        <v>409</v>
      </c>
      <c r="BC116" s="53">
        <f>AW116+AX116</f>
        <v>0</v>
      </c>
      <c r="BD116" s="53">
        <f>H116/(100-BE116)*100</f>
        <v>0</v>
      </c>
      <c r="BE116" s="53">
        <v>0</v>
      </c>
      <c r="BF116" s="53">
        <f>116</f>
        <v>116</v>
      </c>
      <c r="BH116" s="53">
        <f>G116*AO116</f>
        <v>0</v>
      </c>
      <c r="BI116" s="53">
        <f>G116*AP116</f>
        <v>0</v>
      </c>
      <c r="BJ116" s="53">
        <f>G116*H116</f>
        <v>0</v>
      </c>
      <c r="BK116" s="53"/>
      <c r="BL116" s="53">
        <v>728</v>
      </c>
      <c r="BW116" s="53">
        <v>21</v>
      </c>
      <c r="BX116" s="3" t="s">
        <v>434</v>
      </c>
    </row>
    <row r="117" spans="1:76" ht="14.4" x14ac:dyDescent="0.3">
      <c r="A117" s="1" t="s">
        <v>435</v>
      </c>
      <c r="B117" s="2" t="s">
        <v>403</v>
      </c>
      <c r="C117" s="2" t="s">
        <v>436</v>
      </c>
      <c r="D117" s="62" t="s">
        <v>437</v>
      </c>
      <c r="E117" s="63"/>
      <c r="F117" s="2" t="s">
        <v>191</v>
      </c>
      <c r="G117" s="53">
        <v>14.5</v>
      </c>
      <c r="H117" s="53">
        <v>0</v>
      </c>
      <c r="I117" s="53">
        <f>G117*H117</f>
        <v>0</v>
      </c>
      <c r="J117" s="54" t="s">
        <v>141</v>
      </c>
      <c r="K117" s="49"/>
      <c r="Z117" s="53">
        <f>IF(AQ117="5",BJ117,0)</f>
        <v>0</v>
      </c>
      <c r="AB117" s="53">
        <f>IF(AQ117="1",BH117,0)</f>
        <v>0</v>
      </c>
      <c r="AC117" s="53">
        <f>IF(AQ117="1",BI117,0)</f>
        <v>0</v>
      </c>
      <c r="AD117" s="53">
        <f>IF(AQ117="7",BH117,0)</f>
        <v>0</v>
      </c>
      <c r="AE117" s="53">
        <f>IF(AQ117="7",BI117,0)</f>
        <v>0</v>
      </c>
      <c r="AF117" s="53">
        <f>IF(AQ117="2",BH117,0)</f>
        <v>0</v>
      </c>
      <c r="AG117" s="53">
        <f>IF(AQ117="2",BI117,0)</f>
        <v>0</v>
      </c>
      <c r="AH117" s="53">
        <f>IF(AQ117="0",BJ117,0)</f>
        <v>0</v>
      </c>
      <c r="AI117" s="36" t="s">
        <v>403</v>
      </c>
      <c r="AJ117" s="53">
        <f>IF(AN117=0,I117,0)</f>
        <v>0</v>
      </c>
      <c r="AK117" s="53">
        <f>IF(AN117=12,I117,0)</f>
        <v>0</v>
      </c>
      <c r="AL117" s="53">
        <f>IF(AN117=21,I117,0)</f>
        <v>0</v>
      </c>
      <c r="AN117" s="53">
        <v>21</v>
      </c>
      <c r="AO117" s="53">
        <f>H117*0</f>
        <v>0</v>
      </c>
      <c r="AP117" s="53">
        <f>H117*(1-0)</f>
        <v>0</v>
      </c>
      <c r="AQ117" s="54" t="s">
        <v>154</v>
      </c>
      <c r="AV117" s="53">
        <f>AW117+AX117</f>
        <v>0</v>
      </c>
      <c r="AW117" s="53">
        <f>G117*AO117</f>
        <v>0</v>
      </c>
      <c r="AX117" s="53">
        <f>G117*AP117</f>
        <v>0</v>
      </c>
      <c r="AY117" s="54" t="s">
        <v>256</v>
      </c>
      <c r="AZ117" s="54" t="s">
        <v>419</v>
      </c>
      <c r="BA117" s="36" t="s">
        <v>409</v>
      </c>
      <c r="BC117" s="53">
        <f>AW117+AX117</f>
        <v>0</v>
      </c>
      <c r="BD117" s="53">
        <f>H117/(100-BE117)*100</f>
        <v>0</v>
      </c>
      <c r="BE117" s="53">
        <v>0</v>
      </c>
      <c r="BF117" s="53">
        <f>117</f>
        <v>117</v>
      </c>
      <c r="BH117" s="53">
        <f>G117*AO117</f>
        <v>0</v>
      </c>
      <c r="BI117" s="53">
        <f>G117*AP117</f>
        <v>0</v>
      </c>
      <c r="BJ117" s="53">
        <f>G117*H117</f>
        <v>0</v>
      </c>
      <c r="BK117" s="53"/>
      <c r="BL117" s="53">
        <v>728</v>
      </c>
      <c r="BW117" s="53">
        <v>21</v>
      </c>
      <c r="BX117" s="3" t="s">
        <v>437</v>
      </c>
    </row>
    <row r="118" spans="1:76" ht="14.4" x14ac:dyDescent="0.3">
      <c r="A118" s="50" t="s">
        <v>10</v>
      </c>
      <c r="B118" s="51" t="s">
        <v>403</v>
      </c>
      <c r="C118" s="51" t="s">
        <v>260</v>
      </c>
      <c r="D118" s="133" t="s">
        <v>261</v>
      </c>
      <c r="E118" s="134"/>
      <c r="F118" s="52" t="s">
        <v>80</v>
      </c>
      <c r="G118" s="52" t="s">
        <v>80</v>
      </c>
      <c r="H118" s="52" t="s">
        <v>80</v>
      </c>
      <c r="I118" s="28">
        <f>SUM(I119:I119)</f>
        <v>0</v>
      </c>
      <c r="J118" s="36" t="s">
        <v>10</v>
      </c>
      <c r="K118" s="49"/>
      <c r="AI118" s="36" t="s">
        <v>403</v>
      </c>
      <c r="AS118" s="28">
        <f>SUM(AJ119:AJ119)</f>
        <v>0</v>
      </c>
      <c r="AT118" s="28">
        <f>SUM(AK119:AK119)</f>
        <v>0</v>
      </c>
      <c r="AU118" s="28">
        <f>SUM(AL119:AL119)</f>
        <v>0</v>
      </c>
    </row>
    <row r="119" spans="1:76" ht="14.4" x14ac:dyDescent="0.3">
      <c r="A119" s="1" t="s">
        <v>438</v>
      </c>
      <c r="B119" s="2" t="s">
        <v>403</v>
      </c>
      <c r="C119" s="2" t="s">
        <v>439</v>
      </c>
      <c r="D119" s="62" t="s">
        <v>440</v>
      </c>
      <c r="E119" s="63"/>
      <c r="F119" s="2" t="s">
        <v>124</v>
      </c>
      <c r="G119" s="53">
        <v>1</v>
      </c>
      <c r="H119" s="53">
        <v>0</v>
      </c>
      <c r="I119" s="53">
        <f>G119*H119</f>
        <v>0</v>
      </c>
      <c r="J119" s="54" t="s">
        <v>141</v>
      </c>
      <c r="K119" s="49"/>
      <c r="Z119" s="53">
        <f>IF(AQ119="5",BJ119,0)</f>
        <v>0</v>
      </c>
      <c r="AB119" s="53">
        <f>IF(AQ119="1",BH119,0)</f>
        <v>0</v>
      </c>
      <c r="AC119" s="53">
        <f>IF(AQ119="1",BI119,0)</f>
        <v>0</v>
      </c>
      <c r="AD119" s="53">
        <f>IF(AQ119="7",BH119,0)</f>
        <v>0</v>
      </c>
      <c r="AE119" s="53">
        <f>IF(AQ119="7",BI119,0)</f>
        <v>0</v>
      </c>
      <c r="AF119" s="53">
        <f>IF(AQ119="2",BH119,0)</f>
        <v>0</v>
      </c>
      <c r="AG119" s="53">
        <f>IF(AQ119="2",BI119,0)</f>
        <v>0</v>
      </c>
      <c r="AH119" s="53">
        <f>IF(AQ119="0",BJ119,0)</f>
        <v>0</v>
      </c>
      <c r="AI119" s="36" t="s">
        <v>403</v>
      </c>
      <c r="AJ119" s="53">
        <f>IF(AN119=0,I119,0)</f>
        <v>0</v>
      </c>
      <c r="AK119" s="53">
        <f>IF(AN119=12,I119,0)</f>
        <v>0</v>
      </c>
      <c r="AL119" s="53">
        <f>IF(AN119=21,I119,0)</f>
        <v>0</v>
      </c>
      <c r="AN119" s="53">
        <v>21</v>
      </c>
      <c r="AO119" s="53">
        <f>H119*0</f>
        <v>0</v>
      </c>
      <c r="AP119" s="53">
        <f>H119*(1-0)</f>
        <v>0</v>
      </c>
      <c r="AQ119" s="54" t="s">
        <v>154</v>
      </c>
      <c r="AV119" s="53">
        <f>AW119+AX119</f>
        <v>0</v>
      </c>
      <c r="AW119" s="53">
        <f>G119*AO119</f>
        <v>0</v>
      </c>
      <c r="AX119" s="53">
        <f>G119*AP119</f>
        <v>0</v>
      </c>
      <c r="AY119" s="54" t="s">
        <v>265</v>
      </c>
      <c r="AZ119" s="54" t="s">
        <v>441</v>
      </c>
      <c r="BA119" s="36" t="s">
        <v>409</v>
      </c>
      <c r="BC119" s="53">
        <f>AW119+AX119</f>
        <v>0</v>
      </c>
      <c r="BD119" s="53">
        <f>H119/(100-BE119)*100</f>
        <v>0</v>
      </c>
      <c r="BE119" s="53">
        <v>0</v>
      </c>
      <c r="BF119" s="53">
        <f>119</f>
        <v>119</v>
      </c>
      <c r="BH119" s="53">
        <f>G119*AO119</f>
        <v>0</v>
      </c>
      <c r="BI119" s="53">
        <f>G119*AP119</f>
        <v>0</v>
      </c>
      <c r="BJ119" s="53">
        <f>G119*H119</f>
        <v>0</v>
      </c>
      <c r="BK119" s="53"/>
      <c r="BL119" s="53">
        <v>731</v>
      </c>
      <c r="BW119" s="53">
        <v>21</v>
      </c>
      <c r="BX119" s="3" t="s">
        <v>440</v>
      </c>
    </row>
    <row r="120" spans="1:76" ht="14.4" x14ac:dyDescent="0.3">
      <c r="A120" s="50" t="s">
        <v>10</v>
      </c>
      <c r="B120" s="51" t="s">
        <v>403</v>
      </c>
      <c r="C120" s="51" t="s">
        <v>442</v>
      </c>
      <c r="D120" s="133" t="s">
        <v>443</v>
      </c>
      <c r="E120" s="134"/>
      <c r="F120" s="52" t="s">
        <v>80</v>
      </c>
      <c r="G120" s="52" t="s">
        <v>80</v>
      </c>
      <c r="H120" s="52" t="s">
        <v>80</v>
      </c>
      <c r="I120" s="28">
        <f>SUM(I121:I125)</f>
        <v>0</v>
      </c>
      <c r="J120" s="36" t="s">
        <v>10</v>
      </c>
      <c r="K120" s="49"/>
      <c r="AI120" s="36" t="s">
        <v>403</v>
      </c>
      <c r="AS120" s="28">
        <f>SUM(AJ121:AJ125)</f>
        <v>0</v>
      </c>
      <c r="AT120" s="28">
        <f>SUM(AK121:AK125)</f>
        <v>0</v>
      </c>
      <c r="AU120" s="28">
        <f>SUM(AL121:AL125)</f>
        <v>0</v>
      </c>
    </row>
    <row r="121" spans="1:76" ht="14.4" x14ac:dyDescent="0.3">
      <c r="A121" s="1" t="s">
        <v>444</v>
      </c>
      <c r="B121" s="2" t="s">
        <v>403</v>
      </c>
      <c r="C121" s="2" t="s">
        <v>445</v>
      </c>
      <c r="D121" s="62" t="s">
        <v>446</v>
      </c>
      <c r="E121" s="63"/>
      <c r="F121" s="2" t="s">
        <v>202</v>
      </c>
      <c r="G121" s="53">
        <v>15</v>
      </c>
      <c r="H121" s="53">
        <v>0</v>
      </c>
      <c r="I121" s="53">
        <f>G121*H121</f>
        <v>0</v>
      </c>
      <c r="J121" s="54" t="s">
        <v>141</v>
      </c>
      <c r="K121" s="49"/>
      <c r="Z121" s="53">
        <f>IF(AQ121="5",BJ121,0)</f>
        <v>0</v>
      </c>
      <c r="AB121" s="53">
        <f>IF(AQ121="1",BH121,0)</f>
        <v>0</v>
      </c>
      <c r="AC121" s="53">
        <f>IF(AQ121="1",BI121,0)</f>
        <v>0</v>
      </c>
      <c r="AD121" s="53">
        <f>IF(AQ121="7",BH121,0)</f>
        <v>0</v>
      </c>
      <c r="AE121" s="53">
        <f>IF(AQ121="7",BI121,0)</f>
        <v>0</v>
      </c>
      <c r="AF121" s="53">
        <f>IF(AQ121="2",BH121,0)</f>
        <v>0</v>
      </c>
      <c r="AG121" s="53">
        <f>IF(AQ121="2",BI121,0)</f>
        <v>0</v>
      </c>
      <c r="AH121" s="53">
        <f>IF(AQ121="0",BJ121,0)</f>
        <v>0</v>
      </c>
      <c r="AI121" s="36" t="s">
        <v>403</v>
      </c>
      <c r="AJ121" s="53">
        <f>IF(AN121=0,I121,0)</f>
        <v>0</v>
      </c>
      <c r="AK121" s="53">
        <f>IF(AN121=12,I121,0)</f>
        <v>0</v>
      </c>
      <c r="AL121" s="53">
        <f>IF(AN121=21,I121,0)</f>
        <v>0</v>
      </c>
      <c r="AN121" s="53">
        <v>21</v>
      </c>
      <c r="AO121" s="53">
        <f>H121*0.537037037</f>
        <v>0</v>
      </c>
      <c r="AP121" s="53">
        <f>H121*(1-0.537037037)</f>
        <v>0</v>
      </c>
      <c r="AQ121" s="54" t="s">
        <v>154</v>
      </c>
      <c r="AV121" s="53">
        <f>AW121+AX121</f>
        <v>0</v>
      </c>
      <c r="AW121" s="53">
        <f>G121*AO121</f>
        <v>0</v>
      </c>
      <c r="AX121" s="53">
        <f>G121*AP121</f>
        <v>0</v>
      </c>
      <c r="AY121" s="54" t="s">
        <v>447</v>
      </c>
      <c r="AZ121" s="54" t="s">
        <v>441</v>
      </c>
      <c r="BA121" s="36" t="s">
        <v>409</v>
      </c>
      <c r="BC121" s="53">
        <f>AW121+AX121</f>
        <v>0</v>
      </c>
      <c r="BD121" s="53">
        <f>H121/(100-BE121)*100</f>
        <v>0</v>
      </c>
      <c r="BE121" s="53">
        <v>0</v>
      </c>
      <c r="BF121" s="53">
        <f>121</f>
        <v>121</v>
      </c>
      <c r="BH121" s="53">
        <f>G121*AO121</f>
        <v>0</v>
      </c>
      <c r="BI121" s="53">
        <f>G121*AP121</f>
        <v>0</v>
      </c>
      <c r="BJ121" s="53">
        <f>G121*H121</f>
        <v>0</v>
      </c>
      <c r="BK121" s="53"/>
      <c r="BL121" s="53">
        <v>733</v>
      </c>
      <c r="BW121" s="53">
        <v>21</v>
      </c>
      <c r="BX121" s="3" t="s">
        <v>446</v>
      </c>
    </row>
    <row r="122" spans="1:76" ht="14.4" x14ac:dyDescent="0.3">
      <c r="A122" s="1" t="s">
        <v>448</v>
      </c>
      <c r="B122" s="2" t="s">
        <v>403</v>
      </c>
      <c r="C122" s="2" t="s">
        <v>449</v>
      </c>
      <c r="D122" s="62" t="s">
        <v>450</v>
      </c>
      <c r="E122" s="63"/>
      <c r="F122" s="2" t="s">
        <v>202</v>
      </c>
      <c r="G122" s="53">
        <v>4</v>
      </c>
      <c r="H122" s="53">
        <v>0</v>
      </c>
      <c r="I122" s="53">
        <f>G122*H122</f>
        <v>0</v>
      </c>
      <c r="J122" s="54" t="s">
        <v>141</v>
      </c>
      <c r="K122" s="49"/>
      <c r="Z122" s="53">
        <f>IF(AQ122="5",BJ122,0)</f>
        <v>0</v>
      </c>
      <c r="AB122" s="53">
        <f>IF(AQ122="1",BH122,0)</f>
        <v>0</v>
      </c>
      <c r="AC122" s="53">
        <f>IF(AQ122="1",BI122,0)</f>
        <v>0</v>
      </c>
      <c r="AD122" s="53">
        <f>IF(AQ122="7",BH122,0)</f>
        <v>0</v>
      </c>
      <c r="AE122" s="53">
        <f>IF(AQ122="7",BI122,0)</f>
        <v>0</v>
      </c>
      <c r="AF122" s="53">
        <f>IF(AQ122="2",BH122,0)</f>
        <v>0</v>
      </c>
      <c r="AG122" s="53">
        <f>IF(AQ122="2",BI122,0)</f>
        <v>0</v>
      </c>
      <c r="AH122" s="53">
        <f>IF(AQ122="0",BJ122,0)</f>
        <v>0</v>
      </c>
      <c r="AI122" s="36" t="s">
        <v>403</v>
      </c>
      <c r="AJ122" s="53">
        <f>IF(AN122=0,I122,0)</f>
        <v>0</v>
      </c>
      <c r="AK122" s="53">
        <f>IF(AN122=12,I122,0)</f>
        <v>0</v>
      </c>
      <c r="AL122" s="53">
        <f>IF(AN122=21,I122,0)</f>
        <v>0</v>
      </c>
      <c r="AN122" s="53">
        <v>21</v>
      </c>
      <c r="AO122" s="53">
        <f>H122*0.322051282</f>
        <v>0</v>
      </c>
      <c r="AP122" s="53">
        <f>H122*(1-0.322051282)</f>
        <v>0</v>
      </c>
      <c r="AQ122" s="54" t="s">
        <v>154</v>
      </c>
      <c r="AV122" s="53">
        <f>AW122+AX122</f>
        <v>0</v>
      </c>
      <c r="AW122" s="53">
        <f>G122*AO122</f>
        <v>0</v>
      </c>
      <c r="AX122" s="53">
        <f>G122*AP122</f>
        <v>0</v>
      </c>
      <c r="AY122" s="54" t="s">
        <v>447</v>
      </c>
      <c r="AZ122" s="54" t="s">
        <v>441</v>
      </c>
      <c r="BA122" s="36" t="s">
        <v>409</v>
      </c>
      <c r="BC122" s="53">
        <f>AW122+AX122</f>
        <v>0</v>
      </c>
      <c r="BD122" s="53">
        <f>H122/(100-BE122)*100</f>
        <v>0</v>
      </c>
      <c r="BE122" s="53">
        <v>0</v>
      </c>
      <c r="BF122" s="53">
        <f>122</f>
        <v>122</v>
      </c>
      <c r="BH122" s="53">
        <f>G122*AO122</f>
        <v>0</v>
      </c>
      <c r="BI122" s="53">
        <f>G122*AP122</f>
        <v>0</v>
      </c>
      <c r="BJ122" s="53">
        <f>G122*H122</f>
        <v>0</v>
      </c>
      <c r="BK122" s="53"/>
      <c r="BL122" s="53">
        <v>733</v>
      </c>
      <c r="BW122" s="53">
        <v>21</v>
      </c>
      <c r="BX122" s="3" t="s">
        <v>450</v>
      </c>
    </row>
    <row r="123" spans="1:76" ht="14.4" x14ac:dyDescent="0.3">
      <c r="A123" s="1" t="s">
        <v>451</v>
      </c>
      <c r="B123" s="2" t="s">
        <v>403</v>
      </c>
      <c r="C123" s="2" t="s">
        <v>452</v>
      </c>
      <c r="D123" s="62" t="s">
        <v>453</v>
      </c>
      <c r="E123" s="63"/>
      <c r="F123" s="2" t="s">
        <v>191</v>
      </c>
      <c r="G123" s="53">
        <v>2</v>
      </c>
      <c r="H123" s="53">
        <v>0</v>
      </c>
      <c r="I123" s="53">
        <f>G123*H123</f>
        <v>0</v>
      </c>
      <c r="J123" s="54" t="s">
        <v>141</v>
      </c>
      <c r="K123" s="49"/>
      <c r="Z123" s="53">
        <f>IF(AQ123="5",BJ123,0)</f>
        <v>0</v>
      </c>
      <c r="AB123" s="53">
        <f>IF(AQ123="1",BH123,0)</f>
        <v>0</v>
      </c>
      <c r="AC123" s="53">
        <f>IF(AQ123="1",BI123,0)</f>
        <v>0</v>
      </c>
      <c r="AD123" s="53">
        <f>IF(AQ123="7",BH123,0)</f>
        <v>0</v>
      </c>
      <c r="AE123" s="53">
        <f>IF(AQ123="7",BI123,0)</f>
        <v>0</v>
      </c>
      <c r="AF123" s="53">
        <f>IF(AQ123="2",BH123,0)</f>
        <v>0</v>
      </c>
      <c r="AG123" s="53">
        <f>IF(AQ123="2",BI123,0)</f>
        <v>0</v>
      </c>
      <c r="AH123" s="53">
        <f>IF(AQ123="0",BJ123,0)</f>
        <v>0</v>
      </c>
      <c r="AI123" s="36" t="s">
        <v>403</v>
      </c>
      <c r="AJ123" s="53">
        <f>IF(AN123=0,I123,0)</f>
        <v>0</v>
      </c>
      <c r="AK123" s="53">
        <f>IF(AN123=12,I123,0)</f>
        <v>0</v>
      </c>
      <c r="AL123" s="53">
        <f>IF(AN123=21,I123,0)</f>
        <v>0</v>
      </c>
      <c r="AN123" s="53">
        <v>21</v>
      </c>
      <c r="AO123" s="53">
        <f>H123*0.201602067</f>
        <v>0</v>
      </c>
      <c r="AP123" s="53">
        <f>H123*(1-0.201602067)</f>
        <v>0</v>
      </c>
      <c r="AQ123" s="54" t="s">
        <v>154</v>
      </c>
      <c r="AV123" s="53">
        <f>AW123+AX123</f>
        <v>0</v>
      </c>
      <c r="AW123" s="53">
        <f>G123*AO123</f>
        <v>0</v>
      </c>
      <c r="AX123" s="53">
        <f>G123*AP123</f>
        <v>0</v>
      </c>
      <c r="AY123" s="54" t="s">
        <v>447</v>
      </c>
      <c r="AZ123" s="54" t="s">
        <v>441</v>
      </c>
      <c r="BA123" s="36" t="s">
        <v>409</v>
      </c>
      <c r="BC123" s="53">
        <f>AW123+AX123</f>
        <v>0</v>
      </c>
      <c r="BD123" s="53">
        <f>H123/(100-BE123)*100</f>
        <v>0</v>
      </c>
      <c r="BE123" s="53">
        <v>0</v>
      </c>
      <c r="BF123" s="53">
        <f>123</f>
        <v>123</v>
      </c>
      <c r="BH123" s="53">
        <f>G123*AO123</f>
        <v>0</v>
      </c>
      <c r="BI123" s="53">
        <f>G123*AP123</f>
        <v>0</v>
      </c>
      <c r="BJ123" s="53">
        <f>G123*H123</f>
        <v>0</v>
      </c>
      <c r="BK123" s="53"/>
      <c r="BL123" s="53">
        <v>733</v>
      </c>
      <c r="BW123" s="53">
        <v>21</v>
      </c>
      <c r="BX123" s="3" t="s">
        <v>453</v>
      </c>
    </row>
    <row r="124" spans="1:76" ht="14.4" x14ac:dyDescent="0.3">
      <c r="A124" s="1" t="s">
        <v>454</v>
      </c>
      <c r="B124" s="2" t="s">
        <v>403</v>
      </c>
      <c r="C124" s="2" t="s">
        <v>455</v>
      </c>
      <c r="D124" s="62" t="s">
        <v>456</v>
      </c>
      <c r="E124" s="63"/>
      <c r="F124" s="2" t="s">
        <v>191</v>
      </c>
      <c r="G124" s="53">
        <v>18</v>
      </c>
      <c r="H124" s="53">
        <v>0</v>
      </c>
      <c r="I124" s="53">
        <f>G124*H124</f>
        <v>0</v>
      </c>
      <c r="J124" s="54" t="s">
        <v>10</v>
      </c>
      <c r="K124" s="49"/>
      <c r="Z124" s="53">
        <f>IF(AQ124="5",BJ124,0)</f>
        <v>0</v>
      </c>
      <c r="AB124" s="53">
        <f>IF(AQ124="1",BH124,0)</f>
        <v>0</v>
      </c>
      <c r="AC124" s="53">
        <f>IF(AQ124="1",BI124,0)</f>
        <v>0</v>
      </c>
      <c r="AD124" s="53">
        <f>IF(AQ124="7",BH124,0)</f>
        <v>0</v>
      </c>
      <c r="AE124" s="53">
        <f>IF(AQ124="7",BI124,0)</f>
        <v>0</v>
      </c>
      <c r="AF124" s="53">
        <f>IF(AQ124="2",BH124,0)</f>
        <v>0</v>
      </c>
      <c r="AG124" s="53">
        <f>IF(AQ124="2",BI124,0)</f>
        <v>0</v>
      </c>
      <c r="AH124" s="53">
        <f>IF(AQ124="0",BJ124,0)</f>
        <v>0</v>
      </c>
      <c r="AI124" s="36" t="s">
        <v>403</v>
      </c>
      <c r="AJ124" s="53">
        <f>IF(AN124=0,I124,0)</f>
        <v>0</v>
      </c>
      <c r="AK124" s="53">
        <f>IF(AN124=12,I124,0)</f>
        <v>0</v>
      </c>
      <c r="AL124" s="53">
        <f>IF(AN124=21,I124,0)</f>
        <v>0</v>
      </c>
      <c r="AN124" s="53">
        <v>21</v>
      </c>
      <c r="AO124" s="53">
        <f>H124*0</f>
        <v>0</v>
      </c>
      <c r="AP124" s="53">
        <f>H124*(1-0)</f>
        <v>0</v>
      </c>
      <c r="AQ124" s="54" t="s">
        <v>154</v>
      </c>
      <c r="AV124" s="53">
        <f>AW124+AX124</f>
        <v>0</v>
      </c>
      <c r="AW124" s="53">
        <f>G124*AO124</f>
        <v>0</v>
      </c>
      <c r="AX124" s="53">
        <f>G124*AP124</f>
        <v>0</v>
      </c>
      <c r="AY124" s="54" t="s">
        <v>447</v>
      </c>
      <c r="AZ124" s="54" t="s">
        <v>441</v>
      </c>
      <c r="BA124" s="36" t="s">
        <v>409</v>
      </c>
      <c r="BC124" s="53">
        <f>AW124+AX124</f>
        <v>0</v>
      </c>
      <c r="BD124" s="53">
        <f>H124/(100-BE124)*100</f>
        <v>0</v>
      </c>
      <c r="BE124" s="53">
        <v>0</v>
      </c>
      <c r="BF124" s="53">
        <f>124</f>
        <v>124</v>
      </c>
      <c r="BH124" s="53">
        <f>G124*AO124</f>
        <v>0</v>
      </c>
      <c r="BI124" s="53">
        <f>G124*AP124</f>
        <v>0</v>
      </c>
      <c r="BJ124" s="53">
        <f>G124*H124</f>
        <v>0</v>
      </c>
      <c r="BK124" s="53"/>
      <c r="BL124" s="53">
        <v>733</v>
      </c>
      <c r="BW124" s="53">
        <v>21</v>
      </c>
      <c r="BX124" s="3" t="s">
        <v>456</v>
      </c>
    </row>
    <row r="125" spans="1:76" ht="14.4" x14ac:dyDescent="0.3">
      <c r="A125" s="1" t="s">
        <v>457</v>
      </c>
      <c r="B125" s="2" t="s">
        <v>403</v>
      </c>
      <c r="C125" s="2" t="s">
        <v>458</v>
      </c>
      <c r="D125" s="62" t="s">
        <v>459</v>
      </c>
      <c r="E125" s="63"/>
      <c r="F125" s="2" t="s">
        <v>191</v>
      </c>
      <c r="G125" s="53">
        <v>18</v>
      </c>
      <c r="H125" s="53">
        <v>0</v>
      </c>
      <c r="I125" s="53">
        <f>G125*H125</f>
        <v>0</v>
      </c>
      <c r="J125" s="54" t="s">
        <v>141</v>
      </c>
      <c r="K125" s="49"/>
      <c r="Z125" s="53">
        <f>IF(AQ125="5",BJ125,0)</f>
        <v>0</v>
      </c>
      <c r="AB125" s="53">
        <f>IF(AQ125="1",BH125,0)</f>
        <v>0</v>
      </c>
      <c r="AC125" s="53">
        <f>IF(AQ125="1",BI125,0)</f>
        <v>0</v>
      </c>
      <c r="AD125" s="53">
        <f>IF(AQ125="7",BH125,0)</f>
        <v>0</v>
      </c>
      <c r="AE125" s="53">
        <f>IF(AQ125="7",BI125,0)</f>
        <v>0</v>
      </c>
      <c r="AF125" s="53">
        <f>IF(AQ125="2",BH125,0)</f>
        <v>0</v>
      </c>
      <c r="AG125" s="53">
        <f>IF(AQ125="2",BI125,0)</f>
        <v>0</v>
      </c>
      <c r="AH125" s="53">
        <f>IF(AQ125="0",BJ125,0)</f>
        <v>0</v>
      </c>
      <c r="AI125" s="36" t="s">
        <v>403</v>
      </c>
      <c r="AJ125" s="53">
        <f>IF(AN125=0,I125,0)</f>
        <v>0</v>
      </c>
      <c r="AK125" s="53">
        <f>IF(AN125=12,I125,0)</f>
        <v>0</v>
      </c>
      <c r="AL125" s="53">
        <f>IF(AN125=21,I125,0)</f>
        <v>0</v>
      </c>
      <c r="AN125" s="53">
        <v>21</v>
      </c>
      <c r="AO125" s="53">
        <f>H125*1</f>
        <v>0</v>
      </c>
      <c r="AP125" s="53">
        <f>H125*(1-1)</f>
        <v>0</v>
      </c>
      <c r="AQ125" s="54" t="s">
        <v>154</v>
      </c>
      <c r="AV125" s="53">
        <f>AW125+AX125</f>
        <v>0</v>
      </c>
      <c r="AW125" s="53">
        <f>G125*AO125</f>
        <v>0</v>
      </c>
      <c r="AX125" s="53">
        <f>G125*AP125</f>
        <v>0</v>
      </c>
      <c r="AY125" s="54" t="s">
        <v>447</v>
      </c>
      <c r="AZ125" s="54" t="s">
        <v>441</v>
      </c>
      <c r="BA125" s="36" t="s">
        <v>409</v>
      </c>
      <c r="BC125" s="53">
        <f>AW125+AX125</f>
        <v>0</v>
      </c>
      <c r="BD125" s="53">
        <f>H125/(100-BE125)*100</f>
        <v>0</v>
      </c>
      <c r="BE125" s="53">
        <v>0</v>
      </c>
      <c r="BF125" s="53">
        <f>125</f>
        <v>125</v>
      </c>
      <c r="BH125" s="53">
        <f>G125*AO125</f>
        <v>0</v>
      </c>
      <c r="BI125" s="53">
        <f>G125*AP125</f>
        <v>0</v>
      </c>
      <c r="BJ125" s="53">
        <f>G125*H125</f>
        <v>0</v>
      </c>
      <c r="BK125" s="53"/>
      <c r="BL125" s="53">
        <v>733</v>
      </c>
      <c r="BW125" s="53">
        <v>21</v>
      </c>
      <c r="BX125" s="3" t="s">
        <v>459</v>
      </c>
    </row>
    <row r="126" spans="1:76" ht="14.4" x14ac:dyDescent="0.3">
      <c r="A126" s="50" t="s">
        <v>10</v>
      </c>
      <c r="B126" s="51" t="s">
        <v>403</v>
      </c>
      <c r="C126" s="51" t="s">
        <v>128</v>
      </c>
      <c r="D126" s="133" t="s">
        <v>129</v>
      </c>
      <c r="E126" s="134"/>
      <c r="F126" s="52" t="s">
        <v>80</v>
      </c>
      <c r="G126" s="52" t="s">
        <v>80</v>
      </c>
      <c r="H126" s="52" t="s">
        <v>80</v>
      </c>
      <c r="I126" s="28">
        <f>SUM(I127:I130)</f>
        <v>0</v>
      </c>
      <c r="J126" s="36" t="s">
        <v>10</v>
      </c>
      <c r="K126" s="49"/>
      <c r="AI126" s="36" t="s">
        <v>403</v>
      </c>
      <c r="AS126" s="28">
        <f>SUM(AJ127:AJ130)</f>
        <v>0</v>
      </c>
      <c r="AT126" s="28">
        <f>SUM(AK127:AK130)</f>
        <v>0</v>
      </c>
      <c r="AU126" s="28">
        <f>SUM(AL127:AL130)</f>
        <v>0</v>
      </c>
    </row>
    <row r="127" spans="1:76" ht="14.4" x14ac:dyDescent="0.3">
      <c r="A127" s="1" t="s">
        <v>460</v>
      </c>
      <c r="B127" s="2" t="s">
        <v>403</v>
      </c>
      <c r="C127" s="2" t="s">
        <v>461</v>
      </c>
      <c r="D127" s="62" t="s">
        <v>462</v>
      </c>
      <c r="E127" s="63"/>
      <c r="F127" s="2" t="s">
        <v>124</v>
      </c>
      <c r="G127" s="53">
        <v>1</v>
      </c>
      <c r="H127" s="53">
        <v>0</v>
      </c>
      <c r="I127" s="53">
        <f>G127*H127</f>
        <v>0</v>
      </c>
      <c r="J127" s="54" t="s">
        <v>141</v>
      </c>
      <c r="K127" s="49"/>
      <c r="Z127" s="53">
        <f>IF(AQ127="5",BJ127,0)</f>
        <v>0</v>
      </c>
      <c r="AB127" s="53">
        <f>IF(AQ127="1",BH127,0)</f>
        <v>0</v>
      </c>
      <c r="AC127" s="53">
        <f>IF(AQ127="1",BI127,0)</f>
        <v>0</v>
      </c>
      <c r="AD127" s="53">
        <f>IF(AQ127="7",BH127,0)</f>
        <v>0</v>
      </c>
      <c r="AE127" s="53">
        <f>IF(AQ127="7",BI127,0)</f>
        <v>0</v>
      </c>
      <c r="AF127" s="53">
        <f>IF(AQ127="2",BH127,0)</f>
        <v>0</v>
      </c>
      <c r="AG127" s="53">
        <f>IF(AQ127="2",BI127,0)</f>
        <v>0</v>
      </c>
      <c r="AH127" s="53">
        <f>IF(AQ127="0",BJ127,0)</f>
        <v>0</v>
      </c>
      <c r="AI127" s="36" t="s">
        <v>403</v>
      </c>
      <c r="AJ127" s="53">
        <f>IF(AN127=0,I127,0)</f>
        <v>0</v>
      </c>
      <c r="AK127" s="53">
        <f>IF(AN127=12,I127,0)</f>
        <v>0</v>
      </c>
      <c r="AL127" s="53">
        <f>IF(AN127=21,I127,0)</f>
        <v>0</v>
      </c>
      <c r="AN127" s="53">
        <v>21</v>
      </c>
      <c r="AO127" s="53">
        <f>H127*0</f>
        <v>0</v>
      </c>
      <c r="AP127" s="53">
        <f>H127*(1-0)</f>
        <v>0</v>
      </c>
      <c r="AQ127" s="54" t="s">
        <v>121</v>
      </c>
      <c r="AV127" s="53">
        <f>AW127+AX127</f>
        <v>0</v>
      </c>
      <c r="AW127" s="53">
        <f>G127*AO127</f>
        <v>0</v>
      </c>
      <c r="AX127" s="53">
        <f>G127*AP127</f>
        <v>0</v>
      </c>
      <c r="AY127" s="54" t="s">
        <v>134</v>
      </c>
      <c r="AZ127" s="54" t="s">
        <v>463</v>
      </c>
      <c r="BA127" s="36" t="s">
        <v>409</v>
      </c>
      <c r="BC127" s="53">
        <f>AW127+AX127</f>
        <v>0</v>
      </c>
      <c r="BD127" s="53">
        <f>H127/(100-BE127)*100</f>
        <v>0</v>
      </c>
      <c r="BE127" s="53">
        <v>0</v>
      </c>
      <c r="BF127" s="53">
        <f>127</f>
        <v>127</v>
      </c>
      <c r="BH127" s="53">
        <f>G127*AO127</f>
        <v>0</v>
      </c>
      <c r="BI127" s="53">
        <f>G127*AP127</f>
        <v>0</v>
      </c>
      <c r="BJ127" s="53">
        <f>G127*H127</f>
        <v>0</v>
      </c>
      <c r="BK127" s="53"/>
      <c r="BL127" s="53">
        <v>90</v>
      </c>
      <c r="BW127" s="53">
        <v>21</v>
      </c>
      <c r="BX127" s="3" t="s">
        <v>462</v>
      </c>
    </row>
    <row r="128" spans="1:76" ht="14.4" x14ac:dyDescent="0.3">
      <c r="A128" s="1" t="s">
        <v>464</v>
      </c>
      <c r="B128" s="2" t="s">
        <v>403</v>
      </c>
      <c r="C128" s="2" t="s">
        <v>461</v>
      </c>
      <c r="D128" s="62" t="s">
        <v>465</v>
      </c>
      <c r="E128" s="63"/>
      <c r="F128" s="2" t="s">
        <v>466</v>
      </c>
      <c r="G128" s="53">
        <v>48</v>
      </c>
      <c r="H128" s="53">
        <v>0</v>
      </c>
      <c r="I128" s="53">
        <f>G128*H128</f>
        <v>0</v>
      </c>
      <c r="J128" s="54" t="s">
        <v>141</v>
      </c>
      <c r="K128" s="49"/>
      <c r="Z128" s="53">
        <f>IF(AQ128="5",BJ128,0)</f>
        <v>0</v>
      </c>
      <c r="AB128" s="53">
        <f>IF(AQ128="1",BH128,0)</f>
        <v>0</v>
      </c>
      <c r="AC128" s="53">
        <f>IF(AQ128="1",BI128,0)</f>
        <v>0</v>
      </c>
      <c r="AD128" s="53">
        <f>IF(AQ128="7",BH128,0)</f>
        <v>0</v>
      </c>
      <c r="AE128" s="53">
        <f>IF(AQ128="7",BI128,0)</f>
        <v>0</v>
      </c>
      <c r="AF128" s="53">
        <f>IF(AQ128="2",BH128,0)</f>
        <v>0</v>
      </c>
      <c r="AG128" s="53">
        <f>IF(AQ128="2",BI128,0)</f>
        <v>0</v>
      </c>
      <c r="AH128" s="53">
        <f>IF(AQ128="0",BJ128,0)</f>
        <v>0</v>
      </c>
      <c r="AI128" s="36" t="s">
        <v>403</v>
      </c>
      <c r="AJ128" s="53">
        <f>IF(AN128=0,I128,0)</f>
        <v>0</v>
      </c>
      <c r="AK128" s="53">
        <f>IF(AN128=12,I128,0)</f>
        <v>0</v>
      </c>
      <c r="AL128" s="53">
        <f>IF(AN128=21,I128,0)</f>
        <v>0</v>
      </c>
      <c r="AN128" s="53">
        <v>21</v>
      </c>
      <c r="AO128" s="53">
        <f>H128*0</f>
        <v>0</v>
      </c>
      <c r="AP128" s="53">
        <f>H128*(1-0)</f>
        <v>0</v>
      </c>
      <c r="AQ128" s="54" t="s">
        <v>121</v>
      </c>
      <c r="AV128" s="53">
        <f>AW128+AX128</f>
        <v>0</v>
      </c>
      <c r="AW128" s="53">
        <f>G128*AO128</f>
        <v>0</v>
      </c>
      <c r="AX128" s="53">
        <f>G128*AP128</f>
        <v>0</v>
      </c>
      <c r="AY128" s="54" t="s">
        <v>134</v>
      </c>
      <c r="AZ128" s="54" t="s">
        <v>463</v>
      </c>
      <c r="BA128" s="36" t="s">
        <v>409</v>
      </c>
      <c r="BC128" s="53">
        <f>AW128+AX128</f>
        <v>0</v>
      </c>
      <c r="BD128" s="53">
        <f>H128/(100-BE128)*100</f>
        <v>0</v>
      </c>
      <c r="BE128" s="53">
        <v>0</v>
      </c>
      <c r="BF128" s="53">
        <f>128</f>
        <v>128</v>
      </c>
      <c r="BH128" s="53">
        <f>G128*AO128</f>
        <v>0</v>
      </c>
      <c r="BI128" s="53">
        <f>G128*AP128</f>
        <v>0</v>
      </c>
      <c r="BJ128" s="53">
        <f>G128*H128</f>
        <v>0</v>
      </c>
      <c r="BK128" s="53"/>
      <c r="BL128" s="53">
        <v>90</v>
      </c>
      <c r="BW128" s="53">
        <v>21</v>
      </c>
      <c r="BX128" s="3" t="s">
        <v>465</v>
      </c>
    </row>
    <row r="129" spans="1:76" ht="13.5" customHeight="1" x14ac:dyDescent="0.3">
      <c r="A129" s="55"/>
      <c r="C129" s="56" t="s">
        <v>209</v>
      </c>
      <c r="D129" s="136" t="s">
        <v>467</v>
      </c>
      <c r="E129" s="137"/>
      <c r="F129" s="137"/>
      <c r="G129" s="137"/>
      <c r="H129" s="137"/>
      <c r="I129" s="137"/>
      <c r="J129" s="137"/>
      <c r="K129" s="138"/>
    </row>
    <row r="130" spans="1:76" ht="14.4" x14ac:dyDescent="0.3">
      <c r="A130" s="1" t="s">
        <v>468</v>
      </c>
      <c r="B130" s="2" t="s">
        <v>403</v>
      </c>
      <c r="C130" s="2" t="s">
        <v>461</v>
      </c>
      <c r="D130" s="62" t="s">
        <v>469</v>
      </c>
      <c r="E130" s="63"/>
      <c r="F130" s="2" t="s">
        <v>124</v>
      </c>
      <c r="G130" s="53">
        <v>1</v>
      </c>
      <c r="H130" s="53">
        <v>0</v>
      </c>
      <c r="I130" s="53">
        <f>G130*H130</f>
        <v>0</v>
      </c>
      <c r="J130" s="54" t="s">
        <v>141</v>
      </c>
      <c r="K130" s="49"/>
      <c r="Z130" s="53">
        <f>IF(AQ130="5",BJ130,0)</f>
        <v>0</v>
      </c>
      <c r="AB130" s="53">
        <f>IF(AQ130="1",BH130,0)</f>
        <v>0</v>
      </c>
      <c r="AC130" s="53">
        <f>IF(AQ130="1",BI130,0)</f>
        <v>0</v>
      </c>
      <c r="AD130" s="53">
        <f>IF(AQ130="7",BH130,0)</f>
        <v>0</v>
      </c>
      <c r="AE130" s="53">
        <f>IF(AQ130="7",BI130,0)</f>
        <v>0</v>
      </c>
      <c r="AF130" s="53">
        <f>IF(AQ130="2",BH130,0)</f>
        <v>0</v>
      </c>
      <c r="AG130" s="53">
        <f>IF(AQ130="2",BI130,0)</f>
        <v>0</v>
      </c>
      <c r="AH130" s="53">
        <f>IF(AQ130="0",BJ130,0)</f>
        <v>0</v>
      </c>
      <c r="AI130" s="36" t="s">
        <v>403</v>
      </c>
      <c r="AJ130" s="53">
        <f>IF(AN130=0,I130,0)</f>
        <v>0</v>
      </c>
      <c r="AK130" s="53">
        <f>IF(AN130=12,I130,0)</f>
        <v>0</v>
      </c>
      <c r="AL130" s="53">
        <f>IF(AN130=21,I130,0)</f>
        <v>0</v>
      </c>
      <c r="AN130" s="53">
        <v>21</v>
      </c>
      <c r="AO130" s="53">
        <f>H130*0</f>
        <v>0</v>
      </c>
      <c r="AP130" s="53">
        <f>H130*(1-0)</f>
        <v>0</v>
      </c>
      <c r="AQ130" s="54" t="s">
        <v>121</v>
      </c>
      <c r="AV130" s="53">
        <f>AW130+AX130</f>
        <v>0</v>
      </c>
      <c r="AW130" s="53">
        <f>G130*AO130</f>
        <v>0</v>
      </c>
      <c r="AX130" s="53">
        <f>G130*AP130</f>
        <v>0</v>
      </c>
      <c r="AY130" s="54" t="s">
        <v>134</v>
      </c>
      <c r="AZ130" s="54" t="s">
        <v>463</v>
      </c>
      <c r="BA130" s="36" t="s">
        <v>409</v>
      </c>
      <c r="BC130" s="53">
        <f>AW130+AX130</f>
        <v>0</v>
      </c>
      <c r="BD130" s="53">
        <f>H130/(100-BE130)*100</f>
        <v>0</v>
      </c>
      <c r="BE130" s="53">
        <v>0</v>
      </c>
      <c r="BF130" s="53">
        <f>130</f>
        <v>130</v>
      </c>
      <c r="BH130" s="53">
        <f>G130*AO130</f>
        <v>0</v>
      </c>
      <c r="BI130" s="53">
        <f>G130*AP130</f>
        <v>0</v>
      </c>
      <c r="BJ130" s="53">
        <f>G130*H130</f>
        <v>0</v>
      </c>
      <c r="BK130" s="53"/>
      <c r="BL130" s="53">
        <v>90</v>
      </c>
      <c r="BW130" s="53">
        <v>21</v>
      </c>
      <c r="BX130" s="3" t="s">
        <v>469</v>
      </c>
    </row>
    <row r="131" spans="1:76" ht="13.5" customHeight="1" x14ac:dyDescent="0.3">
      <c r="A131" s="55"/>
      <c r="C131" s="56" t="s">
        <v>209</v>
      </c>
      <c r="D131" s="136" t="s">
        <v>467</v>
      </c>
      <c r="E131" s="137"/>
      <c r="F131" s="137"/>
      <c r="G131" s="137"/>
      <c r="H131" s="137"/>
      <c r="I131" s="137"/>
      <c r="J131" s="137"/>
      <c r="K131" s="138"/>
    </row>
    <row r="132" spans="1:76" ht="14.4" x14ac:dyDescent="0.3">
      <c r="A132" s="50" t="s">
        <v>10</v>
      </c>
      <c r="B132" s="51" t="s">
        <v>403</v>
      </c>
      <c r="C132" s="51" t="s">
        <v>470</v>
      </c>
      <c r="D132" s="133" t="s">
        <v>471</v>
      </c>
      <c r="E132" s="134"/>
      <c r="F132" s="52" t="s">
        <v>80</v>
      </c>
      <c r="G132" s="52" t="s">
        <v>80</v>
      </c>
      <c r="H132" s="52" t="s">
        <v>80</v>
      </c>
      <c r="I132" s="28">
        <f>SUM(I133:I133)</f>
        <v>0</v>
      </c>
      <c r="J132" s="36" t="s">
        <v>10</v>
      </c>
      <c r="K132" s="49"/>
      <c r="AI132" s="36" t="s">
        <v>403</v>
      </c>
      <c r="AS132" s="28">
        <f>SUM(AJ133:AJ133)</f>
        <v>0</v>
      </c>
      <c r="AT132" s="28">
        <f>SUM(AK133:AK133)</f>
        <v>0</v>
      </c>
      <c r="AU132" s="28">
        <f>SUM(AL133:AL133)</f>
        <v>0</v>
      </c>
    </row>
    <row r="133" spans="1:76" ht="14.4" x14ac:dyDescent="0.3">
      <c r="A133" s="1" t="s">
        <v>472</v>
      </c>
      <c r="B133" s="2" t="s">
        <v>403</v>
      </c>
      <c r="C133" s="2" t="s">
        <v>473</v>
      </c>
      <c r="D133" s="62" t="s">
        <v>474</v>
      </c>
      <c r="E133" s="63"/>
      <c r="F133" s="2" t="s">
        <v>475</v>
      </c>
      <c r="G133" s="53">
        <v>1</v>
      </c>
      <c r="H133" s="53">
        <v>0</v>
      </c>
      <c r="I133" s="53">
        <f>G133*H133</f>
        <v>0</v>
      </c>
      <c r="J133" s="54" t="s">
        <v>141</v>
      </c>
      <c r="K133" s="49"/>
      <c r="Z133" s="53">
        <f>IF(AQ133="5",BJ133,0)</f>
        <v>0</v>
      </c>
      <c r="AB133" s="53">
        <f>IF(AQ133="1",BH133,0)</f>
        <v>0</v>
      </c>
      <c r="AC133" s="53">
        <f>IF(AQ133="1",BI133,0)</f>
        <v>0</v>
      </c>
      <c r="AD133" s="53">
        <f>IF(AQ133="7",BH133,0)</f>
        <v>0</v>
      </c>
      <c r="AE133" s="53">
        <f>IF(AQ133="7",BI133,0)</f>
        <v>0</v>
      </c>
      <c r="AF133" s="53">
        <f>IF(AQ133="2",BH133,0)</f>
        <v>0</v>
      </c>
      <c r="AG133" s="53">
        <f>IF(AQ133="2",BI133,0)</f>
        <v>0</v>
      </c>
      <c r="AH133" s="53">
        <f>IF(AQ133="0",BJ133,0)</f>
        <v>0</v>
      </c>
      <c r="AI133" s="36" t="s">
        <v>403</v>
      </c>
      <c r="AJ133" s="53">
        <f>IF(AN133=0,I133,0)</f>
        <v>0</v>
      </c>
      <c r="AK133" s="53">
        <f>IF(AN133=12,I133,0)</f>
        <v>0</v>
      </c>
      <c r="AL133" s="53">
        <f>IF(AN133=21,I133,0)</f>
        <v>0</v>
      </c>
      <c r="AN133" s="53">
        <v>21</v>
      </c>
      <c r="AO133" s="53">
        <f>H133*0</f>
        <v>0</v>
      </c>
      <c r="AP133" s="53">
        <f>H133*(1-0)</f>
        <v>0</v>
      </c>
      <c r="AQ133" s="54" t="s">
        <v>130</v>
      </c>
      <c r="AV133" s="53">
        <f>AW133+AX133</f>
        <v>0</v>
      </c>
      <c r="AW133" s="53">
        <f>G133*AO133</f>
        <v>0</v>
      </c>
      <c r="AX133" s="53">
        <f>G133*AP133</f>
        <v>0</v>
      </c>
      <c r="AY133" s="54" t="s">
        <v>476</v>
      </c>
      <c r="AZ133" s="54" t="s">
        <v>463</v>
      </c>
      <c r="BA133" s="36" t="s">
        <v>409</v>
      </c>
      <c r="BC133" s="53">
        <f>AW133+AX133</f>
        <v>0</v>
      </c>
      <c r="BD133" s="53">
        <f>H133/(100-BE133)*100</f>
        <v>0</v>
      </c>
      <c r="BE133" s="53">
        <v>0</v>
      </c>
      <c r="BF133" s="53">
        <f>133</f>
        <v>133</v>
      </c>
      <c r="BH133" s="53">
        <f>G133*AO133</f>
        <v>0</v>
      </c>
      <c r="BI133" s="53">
        <f>G133*AP133</f>
        <v>0</v>
      </c>
      <c r="BJ133" s="53">
        <f>G133*H133</f>
        <v>0</v>
      </c>
      <c r="BK133" s="53"/>
      <c r="BL133" s="53"/>
      <c r="BW133" s="53">
        <v>21</v>
      </c>
      <c r="BX133" s="3" t="s">
        <v>474</v>
      </c>
    </row>
    <row r="134" spans="1:76" ht="14.4" x14ac:dyDescent="0.3">
      <c r="A134" s="50" t="s">
        <v>10</v>
      </c>
      <c r="B134" s="51" t="s">
        <v>403</v>
      </c>
      <c r="C134" s="51" t="s">
        <v>477</v>
      </c>
      <c r="D134" s="133" t="s">
        <v>478</v>
      </c>
      <c r="E134" s="134"/>
      <c r="F134" s="52" t="s">
        <v>80</v>
      </c>
      <c r="G134" s="52" t="s">
        <v>80</v>
      </c>
      <c r="H134" s="52" t="s">
        <v>80</v>
      </c>
      <c r="I134" s="28">
        <f>SUM(I135:I139)</f>
        <v>0</v>
      </c>
      <c r="J134" s="36" t="s">
        <v>10</v>
      </c>
      <c r="K134" s="49"/>
      <c r="AI134" s="36" t="s">
        <v>403</v>
      </c>
      <c r="AS134" s="28">
        <f>SUM(AJ135:AJ139)</f>
        <v>0</v>
      </c>
      <c r="AT134" s="28">
        <f>SUM(AK135:AK139)</f>
        <v>0</v>
      </c>
      <c r="AU134" s="28">
        <f>SUM(AL135:AL139)</f>
        <v>0</v>
      </c>
    </row>
    <row r="135" spans="1:76" ht="14.4" x14ac:dyDescent="0.3">
      <c r="A135" s="1" t="s">
        <v>479</v>
      </c>
      <c r="B135" s="2" t="s">
        <v>403</v>
      </c>
      <c r="C135" s="2" t="s">
        <v>480</v>
      </c>
      <c r="D135" s="62" t="s">
        <v>481</v>
      </c>
      <c r="E135" s="63"/>
      <c r="F135" s="2" t="s">
        <v>202</v>
      </c>
      <c r="G135" s="53">
        <v>2</v>
      </c>
      <c r="H135" s="53">
        <v>0</v>
      </c>
      <c r="I135" s="53">
        <f>G135*H135</f>
        <v>0</v>
      </c>
      <c r="J135" s="54" t="s">
        <v>141</v>
      </c>
      <c r="K135" s="49"/>
      <c r="Z135" s="53">
        <f>IF(AQ135="5",BJ135,0)</f>
        <v>0</v>
      </c>
      <c r="AB135" s="53">
        <f>IF(AQ135="1",BH135,0)</f>
        <v>0</v>
      </c>
      <c r="AC135" s="53">
        <f>IF(AQ135="1",BI135,0)</f>
        <v>0</v>
      </c>
      <c r="AD135" s="53">
        <f>IF(AQ135="7",BH135,0)</f>
        <v>0</v>
      </c>
      <c r="AE135" s="53">
        <f>IF(AQ135="7",BI135,0)</f>
        <v>0</v>
      </c>
      <c r="AF135" s="53">
        <f>IF(AQ135="2",BH135,0)</f>
        <v>0</v>
      </c>
      <c r="AG135" s="53">
        <f>IF(AQ135="2",BI135,0)</f>
        <v>0</v>
      </c>
      <c r="AH135" s="53">
        <f>IF(AQ135="0",BJ135,0)</f>
        <v>0</v>
      </c>
      <c r="AI135" s="36" t="s">
        <v>403</v>
      </c>
      <c r="AJ135" s="53">
        <f>IF(AN135=0,I135,0)</f>
        <v>0</v>
      </c>
      <c r="AK135" s="53">
        <f>IF(AN135=12,I135,0)</f>
        <v>0</v>
      </c>
      <c r="AL135" s="53">
        <f>IF(AN135=21,I135,0)</f>
        <v>0</v>
      </c>
      <c r="AN135" s="53">
        <v>21</v>
      </c>
      <c r="AO135" s="53">
        <f>H135*0</f>
        <v>0</v>
      </c>
      <c r="AP135" s="53">
        <f>H135*(1-0)</f>
        <v>0</v>
      </c>
      <c r="AQ135" s="54" t="s">
        <v>130</v>
      </c>
      <c r="AV135" s="53">
        <f>AW135+AX135</f>
        <v>0</v>
      </c>
      <c r="AW135" s="53">
        <f>G135*AO135</f>
        <v>0</v>
      </c>
      <c r="AX135" s="53">
        <f>G135*AP135</f>
        <v>0</v>
      </c>
      <c r="AY135" s="54" t="s">
        <v>482</v>
      </c>
      <c r="AZ135" s="54" t="s">
        <v>463</v>
      </c>
      <c r="BA135" s="36" t="s">
        <v>409</v>
      </c>
      <c r="BC135" s="53">
        <f>AW135+AX135</f>
        <v>0</v>
      </c>
      <c r="BD135" s="53">
        <f>H135/(100-BE135)*100</f>
        <v>0</v>
      </c>
      <c r="BE135" s="53">
        <v>0</v>
      </c>
      <c r="BF135" s="53">
        <f>135</f>
        <v>135</v>
      </c>
      <c r="BH135" s="53">
        <f>G135*AO135</f>
        <v>0</v>
      </c>
      <c r="BI135" s="53">
        <f>G135*AP135</f>
        <v>0</v>
      </c>
      <c r="BJ135" s="53">
        <f>G135*H135</f>
        <v>0</v>
      </c>
      <c r="BK135" s="53"/>
      <c r="BL135" s="53"/>
      <c r="BW135" s="53">
        <v>21</v>
      </c>
      <c r="BX135" s="3" t="s">
        <v>481</v>
      </c>
    </row>
    <row r="136" spans="1:76" ht="14.4" x14ac:dyDescent="0.3">
      <c r="A136" s="1" t="s">
        <v>483</v>
      </c>
      <c r="B136" s="2" t="s">
        <v>403</v>
      </c>
      <c r="C136" s="2" t="s">
        <v>484</v>
      </c>
      <c r="D136" s="62" t="s">
        <v>485</v>
      </c>
      <c r="E136" s="63"/>
      <c r="F136" s="2" t="s">
        <v>191</v>
      </c>
      <c r="G136" s="53">
        <v>25</v>
      </c>
      <c r="H136" s="53">
        <v>0</v>
      </c>
      <c r="I136" s="53">
        <f>G136*H136</f>
        <v>0</v>
      </c>
      <c r="J136" s="54" t="s">
        <v>141</v>
      </c>
      <c r="K136" s="49"/>
      <c r="Z136" s="53">
        <f>IF(AQ136="5",BJ136,0)</f>
        <v>0</v>
      </c>
      <c r="AB136" s="53">
        <f>IF(AQ136="1",BH136,0)</f>
        <v>0</v>
      </c>
      <c r="AC136" s="53">
        <f>IF(AQ136="1",BI136,0)</f>
        <v>0</v>
      </c>
      <c r="AD136" s="53">
        <f>IF(AQ136="7",BH136,0)</f>
        <v>0</v>
      </c>
      <c r="AE136" s="53">
        <f>IF(AQ136="7",BI136,0)</f>
        <v>0</v>
      </c>
      <c r="AF136" s="53">
        <f>IF(AQ136="2",BH136,0)</f>
        <v>0</v>
      </c>
      <c r="AG136" s="53">
        <f>IF(AQ136="2",BI136,0)</f>
        <v>0</v>
      </c>
      <c r="AH136" s="53">
        <f>IF(AQ136="0",BJ136,0)</f>
        <v>0</v>
      </c>
      <c r="AI136" s="36" t="s">
        <v>403</v>
      </c>
      <c r="AJ136" s="53">
        <f>IF(AN136=0,I136,0)</f>
        <v>0</v>
      </c>
      <c r="AK136" s="53">
        <f>IF(AN136=12,I136,0)</f>
        <v>0</v>
      </c>
      <c r="AL136" s="53">
        <f>IF(AN136=21,I136,0)</f>
        <v>0</v>
      </c>
      <c r="AN136" s="53">
        <v>21</v>
      </c>
      <c r="AO136" s="53">
        <f>H136*0.712135922</f>
        <v>0</v>
      </c>
      <c r="AP136" s="53">
        <f>H136*(1-0.712135922)</f>
        <v>0</v>
      </c>
      <c r="AQ136" s="54" t="s">
        <v>130</v>
      </c>
      <c r="AV136" s="53">
        <f>AW136+AX136</f>
        <v>0</v>
      </c>
      <c r="AW136" s="53">
        <f>G136*AO136</f>
        <v>0</v>
      </c>
      <c r="AX136" s="53">
        <f>G136*AP136</f>
        <v>0</v>
      </c>
      <c r="AY136" s="54" t="s">
        <v>482</v>
      </c>
      <c r="AZ136" s="54" t="s">
        <v>463</v>
      </c>
      <c r="BA136" s="36" t="s">
        <v>409</v>
      </c>
      <c r="BC136" s="53">
        <f>AW136+AX136</f>
        <v>0</v>
      </c>
      <c r="BD136" s="53">
        <f>H136/(100-BE136)*100</f>
        <v>0</v>
      </c>
      <c r="BE136" s="53">
        <v>0</v>
      </c>
      <c r="BF136" s="53">
        <f>136</f>
        <v>136</v>
      </c>
      <c r="BH136" s="53">
        <f>G136*AO136</f>
        <v>0</v>
      </c>
      <c r="BI136" s="53">
        <f>G136*AP136</f>
        <v>0</v>
      </c>
      <c r="BJ136" s="53">
        <f>G136*H136</f>
        <v>0</v>
      </c>
      <c r="BK136" s="53"/>
      <c r="BL136" s="53"/>
      <c r="BW136" s="53">
        <v>21</v>
      </c>
      <c r="BX136" s="3" t="s">
        <v>485</v>
      </c>
    </row>
    <row r="137" spans="1:76" ht="14.4" x14ac:dyDescent="0.3">
      <c r="A137" s="1" t="s">
        <v>486</v>
      </c>
      <c r="B137" s="2" t="s">
        <v>403</v>
      </c>
      <c r="C137" s="2" t="s">
        <v>487</v>
      </c>
      <c r="D137" s="62" t="s">
        <v>488</v>
      </c>
      <c r="E137" s="63"/>
      <c r="F137" s="2" t="s">
        <v>191</v>
      </c>
      <c r="G137" s="53">
        <v>22</v>
      </c>
      <c r="H137" s="53">
        <v>0</v>
      </c>
      <c r="I137" s="53">
        <f>G137*H137</f>
        <v>0</v>
      </c>
      <c r="J137" s="54" t="s">
        <v>141</v>
      </c>
      <c r="K137" s="49"/>
      <c r="Z137" s="53">
        <f>IF(AQ137="5",BJ137,0)</f>
        <v>0</v>
      </c>
      <c r="AB137" s="53">
        <f>IF(AQ137="1",BH137,0)</f>
        <v>0</v>
      </c>
      <c r="AC137" s="53">
        <f>IF(AQ137="1",BI137,0)</f>
        <v>0</v>
      </c>
      <c r="AD137" s="53">
        <f>IF(AQ137="7",BH137,0)</f>
        <v>0</v>
      </c>
      <c r="AE137" s="53">
        <f>IF(AQ137="7",BI137,0)</f>
        <v>0</v>
      </c>
      <c r="AF137" s="53">
        <f>IF(AQ137="2",BH137,0)</f>
        <v>0</v>
      </c>
      <c r="AG137" s="53">
        <f>IF(AQ137="2",BI137,0)</f>
        <v>0</v>
      </c>
      <c r="AH137" s="53">
        <f>IF(AQ137="0",BJ137,0)</f>
        <v>0</v>
      </c>
      <c r="AI137" s="36" t="s">
        <v>403</v>
      </c>
      <c r="AJ137" s="53">
        <f>IF(AN137=0,I137,0)</f>
        <v>0</v>
      </c>
      <c r="AK137" s="53">
        <f>IF(AN137=12,I137,0)</f>
        <v>0</v>
      </c>
      <c r="AL137" s="53">
        <f>IF(AN137=21,I137,0)</f>
        <v>0</v>
      </c>
      <c r="AN137" s="53">
        <v>21</v>
      </c>
      <c r="AO137" s="53">
        <f>H137*0.752296211</f>
        <v>0</v>
      </c>
      <c r="AP137" s="53">
        <f>H137*(1-0.752296211)</f>
        <v>0</v>
      </c>
      <c r="AQ137" s="54" t="s">
        <v>130</v>
      </c>
      <c r="AV137" s="53">
        <f>AW137+AX137</f>
        <v>0</v>
      </c>
      <c r="AW137" s="53">
        <f>G137*AO137</f>
        <v>0</v>
      </c>
      <c r="AX137" s="53">
        <f>G137*AP137</f>
        <v>0</v>
      </c>
      <c r="AY137" s="54" t="s">
        <v>482</v>
      </c>
      <c r="AZ137" s="54" t="s">
        <v>463</v>
      </c>
      <c r="BA137" s="36" t="s">
        <v>409</v>
      </c>
      <c r="BC137" s="53">
        <f>AW137+AX137</f>
        <v>0</v>
      </c>
      <c r="BD137" s="53">
        <f>H137/(100-BE137)*100</f>
        <v>0</v>
      </c>
      <c r="BE137" s="53">
        <v>0</v>
      </c>
      <c r="BF137" s="53">
        <f>137</f>
        <v>137</v>
      </c>
      <c r="BH137" s="53">
        <f>G137*AO137</f>
        <v>0</v>
      </c>
      <c r="BI137" s="53">
        <f>G137*AP137</f>
        <v>0</v>
      </c>
      <c r="BJ137" s="53">
        <f>G137*H137</f>
        <v>0</v>
      </c>
      <c r="BK137" s="53"/>
      <c r="BL137" s="53"/>
      <c r="BW137" s="53">
        <v>21</v>
      </c>
      <c r="BX137" s="3" t="s">
        <v>488</v>
      </c>
    </row>
    <row r="138" spans="1:76" ht="14.4" x14ac:dyDescent="0.3">
      <c r="A138" s="1" t="s">
        <v>489</v>
      </c>
      <c r="B138" s="2" t="s">
        <v>403</v>
      </c>
      <c r="C138" s="2" t="s">
        <v>490</v>
      </c>
      <c r="D138" s="62" t="s">
        <v>491</v>
      </c>
      <c r="E138" s="63"/>
      <c r="F138" s="2" t="s">
        <v>191</v>
      </c>
      <c r="G138" s="53">
        <v>517</v>
      </c>
      <c r="H138" s="53">
        <v>0</v>
      </c>
      <c r="I138" s="53">
        <f>G138*H138</f>
        <v>0</v>
      </c>
      <c r="J138" s="54" t="s">
        <v>141</v>
      </c>
      <c r="K138" s="49"/>
      <c r="Z138" s="53">
        <f>IF(AQ138="5",BJ138,0)</f>
        <v>0</v>
      </c>
      <c r="AB138" s="53">
        <f>IF(AQ138="1",BH138,0)</f>
        <v>0</v>
      </c>
      <c r="AC138" s="53">
        <f>IF(AQ138="1",BI138,0)</f>
        <v>0</v>
      </c>
      <c r="AD138" s="53">
        <f>IF(AQ138="7",BH138,0)</f>
        <v>0</v>
      </c>
      <c r="AE138" s="53">
        <f>IF(AQ138="7",BI138,0)</f>
        <v>0</v>
      </c>
      <c r="AF138" s="53">
        <f>IF(AQ138="2",BH138,0)</f>
        <v>0</v>
      </c>
      <c r="AG138" s="53">
        <f>IF(AQ138="2",BI138,0)</f>
        <v>0</v>
      </c>
      <c r="AH138" s="53">
        <f>IF(AQ138="0",BJ138,0)</f>
        <v>0</v>
      </c>
      <c r="AI138" s="36" t="s">
        <v>403</v>
      </c>
      <c r="AJ138" s="53">
        <f>IF(AN138=0,I138,0)</f>
        <v>0</v>
      </c>
      <c r="AK138" s="53">
        <f>IF(AN138=12,I138,0)</f>
        <v>0</v>
      </c>
      <c r="AL138" s="53">
        <f>IF(AN138=21,I138,0)</f>
        <v>0</v>
      </c>
      <c r="AN138" s="53">
        <v>21</v>
      </c>
      <c r="AO138" s="53">
        <f>H138*0</f>
        <v>0</v>
      </c>
      <c r="AP138" s="53">
        <f>H138*(1-0)</f>
        <v>0</v>
      </c>
      <c r="AQ138" s="54" t="s">
        <v>130</v>
      </c>
      <c r="AV138" s="53">
        <f>AW138+AX138</f>
        <v>0</v>
      </c>
      <c r="AW138" s="53">
        <f>G138*AO138</f>
        <v>0</v>
      </c>
      <c r="AX138" s="53">
        <f>G138*AP138</f>
        <v>0</v>
      </c>
      <c r="AY138" s="54" t="s">
        <v>482</v>
      </c>
      <c r="AZ138" s="54" t="s">
        <v>463</v>
      </c>
      <c r="BA138" s="36" t="s">
        <v>409</v>
      </c>
      <c r="BC138" s="53">
        <f>AW138+AX138</f>
        <v>0</v>
      </c>
      <c r="BD138" s="53">
        <f>H138/(100-BE138)*100</f>
        <v>0</v>
      </c>
      <c r="BE138" s="53">
        <v>0</v>
      </c>
      <c r="BF138" s="53">
        <f>138</f>
        <v>138</v>
      </c>
      <c r="BH138" s="53">
        <f>G138*AO138</f>
        <v>0</v>
      </c>
      <c r="BI138" s="53">
        <f>G138*AP138</f>
        <v>0</v>
      </c>
      <c r="BJ138" s="53">
        <f>G138*H138</f>
        <v>0</v>
      </c>
      <c r="BK138" s="53"/>
      <c r="BL138" s="53"/>
      <c r="BW138" s="53">
        <v>21</v>
      </c>
      <c r="BX138" s="3" t="s">
        <v>491</v>
      </c>
    </row>
    <row r="139" spans="1:76" ht="14.4" x14ac:dyDescent="0.3">
      <c r="A139" s="1" t="s">
        <v>492</v>
      </c>
      <c r="B139" s="2" t="s">
        <v>403</v>
      </c>
      <c r="C139" s="2" t="s">
        <v>493</v>
      </c>
      <c r="D139" s="62" t="s">
        <v>494</v>
      </c>
      <c r="E139" s="63"/>
      <c r="F139" s="2" t="s">
        <v>202</v>
      </c>
      <c r="G139" s="53">
        <v>47</v>
      </c>
      <c r="H139" s="53">
        <v>0</v>
      </c>
      <c r="I139" s="53">
        <f>G139*H139</f>
        <v>0</v>
      </c>
      <c r="J139" s="54" t="s">
        <v>141</v>
      </c>
      <c r="K139" s="49"/>
      <c r="Z139" s="53">
        <f>IF(AQ139="5",BJ139,0)</f>
        <v>0</v>
      </c>
      <c r="AB139" s="53">
        <f>IF(AQ139="1",BH139,0)</f>
        <v>0</v>
      </c>
      <c r="AC139" s="53">
        <f>IF(AQ139="1",BI139,0)</f>
        <v>0</v>
      </c>
      <c r="AD139" s="53">
        <f>IF(AQ139="7",BH139,0)</f>
        <v>0</v>
      </c>
      <c r="AE139" s="53">
        <f>IF(AQ139="7",BI139,0)</f>
        <v>0</v>
      </c>
      <c r="AF139" s="53">
        <f>IF(AQ139="2",BH139,0)</f>
        <v>0</v>
      </c>
      <c r="AG139" s="53">
        <f>IF(AQ139="2",BI139,0)</f>
        <v>0</v>
      </c>
      <c r="AH139" s="53">
        <f>IF(AQ139="0",BJ139,0)</f>
        <v>0</v>
      </c>
      <c r="AI139" s="36" t="s">
        <v>403</v>
      </c>
      <c r="AJ139" s="53">
        <f>IF(AN139=0,I139,0)</f>
        <v>0</v>
      </c>
      <c r="AK139" s="53">
        <f>IF(AN139=12,I139,0)</f>
        <v>0</v>
      </c>
      <c r="AL139" s="53">
        <f>IF(AN139=21,I139,0)</f>
        <v>0</v>
      </c>
      <c r="AN139" s="53">
        <v>21</v>
      </c>
      <c r="AO139" s="53">
        <f>H139*0</f>
        <v>0</v>
      </c>
      <c r="AP139" s="53">
        <f>H139*(1-0)</f>
        <v>0</v>
      </c>
      <c r="AQ139" s="54" t="s">
        <v>130</v>
      </c>
      <c r="AV139" s="53">
        <f>AW139+AX139</f>
        <v>0</v>
      </c>
      <c r="AW139" s="53">
        <f>G139*AO139</f>
        <v>0</v>
      </c>
      <c r="AX139" s="53">
        <f>G139*AP139</f>
        <v>0</v>
      </c>
      <c r="AY139" s="54" t="s">
        <v>482</v>
      </c>
      <c r="AZ139" s="54" t="s">
        <v>463</v>
      </c>
      <c r="BA139" s="36" t="s">
        <v>409</v>
      </c>
      <c r="BC139" s="53">
        <f>AW139+AX139</f>
        <v>0</v>
      </c>
      <c r="BD139" s="53">
        <f>H139/(100-BE139)*100</f>
        <v>0</v>
      </c>
      <c r="BE139" s="53">
        <v>0</v>
      </c>
      <c r="BF139" s="53">
        <f>139</f>
        <v>139</v>
      </c>
      <c r="BH139" s="53">
        <f>G139*AO139</f>
        <v>0</v>
      </c>
      <c r="BI139" s="53">
        <f>G139*AP139</f>
        <v>0</v>
      </c>
      <c r="BJ139" s="53">
        <f>G139*H139</f>
        <v>0</v>
      </c>
      <c r="BK139" s="53"/>
      <c r="BL139" s="53"/>
      <c r="BW139" s="53">
        <v>21</v>
      </c>
      <c r="BX139" s="3" t="s">
        <v>494</v>
      </c>
    </row>
    <row r="140" spans="1:76" ht="14.4" x14ac:dyDescent="0.3">
      <c r="A140" s="50" t="s">
        <v>10</v>
      </c>
      <c r="B140" s="51" t="s">
        <v>403</v>
      </c>
      <c r="C140" s="51" t="s">
        <v>388</v>
      </c>
      <c r="D140" s="133" t="s">
        <v>38</v>
      </c>
      <c r="E140" s="134"/>
      <c r="F140" s="52" t="s">
        <v>80</v>
      </c>
      <c r="G140" s="52" t="s">
        <v>80</v>
      </c>
      <c r="H140" s="52" t="s">
        <v>80</v>
      </c>
      <c r="I140" s="28">
        <f>SUM(I141:I142)</f>
        <v>0</v>
      </c>
      <c r="J140" s="36" t="s">
        <v>10</v>
      </c>
      <c r="K140" s="49"/>
      <c r="AI140" s="36" t="s">
        <v>403</v>
      </c>
      <c r="AS140" s="28">
        <f>SUM(AJ141:AJ142)</f>
        <v>0</v>
      </c>
      <c r="AT140" s="28">
        <f>SUM(AK141:AK142)</f>
        <v>0</v>
      </c>
      <c r="AU140" s="28">
        <f>SUM(AL141:AL142)</f>
        <v>0</v>
      </c>
    </row>
    <row r="141" spans="1:76" ht="14.4" x14ac:dyDescent="0.3">
      <c r="A141" s="1" t="s">
        <v>495</v>
      </c>
      <c r="B141" s="2" t="s">
        <v>403</v>
      </c>
      <c r="C141" s="2" t="s">
        <v>496</v>
      </c>
      <c r="D141" s="62" t="s">
        <v>497</v>
      </c>
      <c r="E141" s="63"/>
      <c r="F141" s="2" t="s">
        <v>202</v>
      </c>
      <c r="G141" s="53">
        <v>1</v>
      </c>
      <c r="H141" s="53">
        <v>0</v>
      </c>
      <c r="I141" s="53">
        <f>G141*H141</f>
        <v>0</v>
      </c>
      <c r="J141" s="54" t="s">
        <v>141</v>
      </c>
      <c r="K141" s="49"/>
      <c r="Z141" s="53">
        <f>IF(AQ141="5",BJ141,0)</f>
        <v>0</v>
      </c>
      <c r="AB141" s="53">
        <f>IF(AQ141="1",BH141,0)</f>
        <v>0</v>
      </c>
      <c r="AC141" s="53">
        <f>IF(AQ141="1",BI141,0)</f>
        <v>0</v>
      </c>
      <c r="AD141" s="53">
        <f>IF(AQ141="7",BH141,0)</f>
        <v>0</v>
      </c>
      <c r="AE141" s="53">
        <f>IF(AQ141="7",BI141,0)</f>
        <v>0</v>
      </c>
      <c r="AF141" s="53">
        <f>IF(AQ141="2",BH141,0)</f>
        <v>0</v>
      </c>
      <c r="AG141" s="53">
        <f>IF(AQ141="2",BI141,0)</f>
        <v>0</v>
      </c>
      <c r="AH141" s="53">
        <f>IF(AQ141="0",BJ141,0)</f>
        <v>0</v>
      </c>
      <c r="AI141" s="36" t="s">
        <v>403</v>
      </c>
      <c r="AJ141" s="53">
        <f>IF(AN141=0,I141,0)</f>
        <v>0</v>
      </c>
      <c r="AK141" s="53">
        <f>IF(AN141=12,I141,0)</f>
        <v>0</v>
      </c>
      <c r="AL141" s="53">
        <f>IF(AN141=21,I141,0)</f>
        <v>0</v>
      </c>
      <c r="AN141" s="53">
        <v>21</v>
      </c>
      <c r="AO141" s="53">
        <f>H141*1</f>
        <v>0</v>
      </c>
      <c r="AP141" s="53">
        <f>H141*(1-1)</f>
        <v>0</v>
      </c>
      <c r="AQ141" s="54" t="s">
        <v>119</v>
      </c>
      <c r="AV141" s="53">
        <f>AW141+AX141</f>
        <v>0</v>
      </c>
      <c r="AW141" s="53">
        <f>G141*AO141</f>
        <v>0</v>
      </c>
      <c r="AX141" s="53">
        <f>G141*AP141</f>
        <v>0</v>
      </c>
      <c r="AY141" s="54" t="s">
        <v>392</v>
      </c>
      <c r="AZ141" s="54" t="s">
        <v>498</v>
      </c>
      <c r="BA141" s="36" t="s">
        <v>409</v>
      </c>
      <c r="BC141" s="53">
        <f>AW141+AX141</f>
        <v>0</v>
      </c>
      <c r="BD141" s="53">
        <f>H141/(100-BE141)*100</f>
        <v>0</v>
      </c>
      <c r="BE141" s="53">
        <v>0</v>
      </c>
      <c r="BF141" s="53">
        <f>141</f>
        <v>141</v>
      </c>
      <c r="BH141" s="53">
        <f>G141*AO141</f>
        <v>0</v>
      </c>
      <c r="BI141" s="53">
        <f>G141*AP141</f>
        <v>0</v>
      </c>
      <c r="BJ141" s="53">
        <f>G141*H141</f>
        <v>0</v>
      </c>
      <c r="BK141" s="53"/>
      <c r="BL141" s="53"/>
      <c r="BW141" s="53">
        <v>21</v>
      </c>
      <c r="BX141" s="3" t="s">
        <v>497</v>
      </c>
    </row>
    <row r="142" spans="1:76" ht="14.4" x14ac:dyDescent="0.3">
      <c r="A142" s="1" t="s">
        <v>499</v>
      </c>
      <c r="B142" s="2" t="s">
        <v>403</v>
      </c>
      <c r="C142" s="2" t="s">
        <v>500</v>
      </c>
      <c r="D142" s="62" t="s">
        <v>501</v>
      </c>
      <c r="E142" s="63"/>
      <c r="F142" s="2" t="s">
        <v>202</v>
      </c>
      <c r="G142" s="53">
        <v>1</v>
      </c>
      <c r="H142" s="53">
        <v>0</v>
      </c>
      <c r="I142" s="53">
        <f>G142*H142</f>
        <v>0</v>
      </c>
      <c r="J142" s="54" t="s">
        <v>141</v>
      </c>
      <c r="K142" s="49"/>
      <c r="Z142" s="53">
        <f>IF(AQ142="5",BJ142,0)</f>
        <v>0</v>
      </c>
      <c r="AB142" s="53">
        <f>IF(AQ142="1",BH142,0)</f>
        <v>0</v>
      </c>
      <c r="AC142" s="53">
        <f>IF(AQ142="1",BI142,0)</f>
        <v>0</v>
      </c>
      <c r="AD142" s="53">
        <f>IF(AQ142="7",BH142,0)</f>
        <v>0</v>
      </c>
      <c r="AE142" s="53">
        <f>IF(AQ142="7",BI142,0)</f>
        <v>0</v>
      </c>
      <c r="AF142" s="53">
        <f>IF(AQ142="2",BH142,0)</f>
        <v>0</v>
      </c>
      <c r="AG142" s="53">
        <f>IF(AQ142="2",BI142,0)</f>
        <v>0</v>
      </c>
      <c r="AH142" s="53">
        <f>IF(AQ142="0",BJ142,0)</f>
        <v>0</v>
      </c>
      <c r="AI142" s="36" t="s">
        <v>403</v>
      </c>
      <c r="AJ142" s="53">
        <f>IF(AN142=0,I142,0)</f>
        <v>0</v>
      </c>
      <c r="AK142" s="53">
        <f>IF(AN142=12,I142,0)</f>
        <v>0</v>
      </c>
      <c r="AL142" s="53">
        <f>IF(AN142=21,I142,0)</f>
        <v>0</v>
      </c>
      <c r="AN142" s="53">
        <v>21</v>
      </c>
      <c r="AO142" s="53">
        <f>H142*1</f>
        <v>0</v>
      </c>
      <c r="AP142" s="53">
        <f>H142*(1-1)</f>
        <v>0</v>
      </c>
      <c r="AQ142" s="54" t="s">
        <v>119</v>
      </c>
      <c r="AV142" s="53">
        <f>AW142+AX142</f>
        <v>0</v>
      </c>
      <c r="AW142" s="53">
        <f>G142*AO142</f>
        <v>0</v>
      </c>
      <c r="AX142" s="53">
        <f>G142*AP142</f>
        <v>0</v>
      </c>
      <c r="AY142" s="54" t="s">
        <v>392</v>
      </c>
      <c r="AZ142" s="54" t="s">
        <v>498</v>
      </c>
      <c r="BA142" s="36" t="s">
        <v>409</v>
      </c>
      <c r="BC142" s="53">
        <f>AW142+AX142</f>
        <v>0</v>
      </c>
      <c r="BD142" s="53">
        <f>H142/(100-BE142)*100</f>
        <v>0</v>
      </c>
      <c r="BE142" s="53">
        <v>0</v>
      </c>
      <c r="BF142" s="53">
        <f>142</f>
        <v>142</v>
      </c>
      <c r="BH142" s="53">
        <f>G142*AO142</f>
        <v>0</v>
      </c>
      <c r="BI142" s="53">
        <f>G142*AP142</f>
        <v>0</v>
      </c>
      <c r="BJ142" s="53">
        <f>G142*H142</f>
        <v>0</v>
      </c>
      <c r="BK142" s="53"/>
      <c r="BL142" s="53"/>
      <c r="BW142" s="53">
        <v>21</v>
      </c>
      <c r="BX142" s="3" t="s">
        <v>501</v>
      </c>
    </row>
    <row r="143" spans="1:76" ht="14.4" x14ac:dyDescent="0.3">
      <c r="A143" s="50" t="s">
        <v>10</v>
      </c>
      <c r="B143" s="51" t="s">
        <v>502</v>
      </c>
      <c r="C143" s="51" t="s">
        <v>10</v>
      </c>
      <c r="D143" s="133" t="s">
        <v>503</v>
      </c>
      <c r="E143" s="134"/>
      <c r="F143" s="52" t="s">
        <v>80</v>
      </c>
      <c r="G143" s="52" t="s">
        <v>80</v>
      </c>
      <c r="H143" s="52" t="s">
        <v>80</v>
      </c>
      <c r="I143" s="28">
        <f>I144</f>
        <v>0</v>
      </c>
      <c r="J143" s="36" t="s">
        <v>10</v>
      </c>
      <c r="K143" s="49"/>
    </row>
    <row r="144" spans="1:76" ht="14.4" x14ac:dyDescent="0.3">
      <c r="A144" s="50" t="s">
        <v>10</v>
      </c>
      <c r="B144" s="51" t="s">
        <v>502</v>
      </c>
      <c r="C144" s="51" t="s">
        <v>464</v>
      </c>
      <c r="D144" s="133" t="s">
        <v>504</v>
      </c>
      <c r="E144" s="134"/>
      <c r="F144" s="52" t="s">
        <v>80</v>
      </c>
      <c r="G144" s="52" t="s">
        <v>80</v>
      </c>
      <c r="H144" s="52" t="s">
        <v>80</v>
      </c>
      <c r="I144" s="28">
        <f>SUM(I145:I145)</f>
        <v>0</v>
      </c>
      <c r="J144" s="36" t="s">
        <v>10</v>
      </c>
      <c r="K144" s="49"/>
      <c r="AI144" s="36" t="s">
        <v>502</v>
      </c>
      <c r="AS144" s="28">
        <f>SUM(AJ145:AJ145)</f>
        <v>0</v>
      </c>
      <c r="AT144" s="28">
        <f>SUM(AK145:AK145)</f>
        <v>0</v>
      </c>
      <c r="AU144" s="28">
        <f>SUM(AL145:AL145)</f>
        <v>0</v>
      </c>
    </row>
    <row r="145" spans="1:76" ht="14.4" x14ac:dyDescent="0.3">
      <c r="A145" s="1" t="s">
        <v>505</v>
      </c>
      <c r="B145" s="2" t="s">
        <v>502</v>
      </c>
      <c r="C145" s="2" t="s">
        <v>506</v>
      </c>
      <c r="D145" s="62" t="s">
        <v>507</v>
      </c>
      <c r="E145" s="63"/>
      <c r="F145" s="2" t="s">
        <v>407</v>
      </c>
      <c r="G145" s="53">
        <v>16</v>
      </c>
      <c r="H145" s="53">
        <v>0</v>
      </c>
      <c r="I145" s="53">
        <f>G145*H145</f>
        <v>0</v>
      </c>
      <c r="J145" s="54" t="s">
        <v>10</v>
      </c>
      <c r="K145" s="49"/>
      <c r="Z145" s="53">
        <f>IF(AQ145="5",BJ145,0)</f>
        <v>0</v>
      </c>
      <c r="AB145" s="53">
        <f>IF(AQ145="1",BH145,0)</f>
        <v>0</v>
      </c>
      <c r="AC145" s="53">
        <f>IF(AQ145="1",BI145,0)</f>
        <v>0</v>
      </c>
      <c r="AD145" s="53">
        <f>IF(AQ145="7",BH145,0)</f>
        <v>0</v>
      </c>
      <c r="AE145" s="53">
        <f>IF(AQ145="7",BI145,0)</f>
        <v>0</v>
      </c>
      <c r="AF145" s="53">
        <f>IF(AQ145="2",BH145,0)</f>
        <v>0</v>
      </c>
      <c r="AG145" s="53">
        <f>IF(AQ145="2",BI145,0)</f>
        <v>0</v>
      </c>
      <c r="AH145" s="53">
        <f>IF(AQ145="0",BJ145,0)</f>
        <v>0</v>
      </c>
      <c r="AI145" s="36" t="s">
        <v>502</v>
      </c>
      <c r="AJ145" s="53">
        <f>IF(AN145=0,I145,0)</f>
        <v>0</v>
      </c>
      <c r="AK145" s="53">
        <f>IF(AN145=12,I145,0)</f>
        <v>0</v>
      </c>
      <c r="AL145" s="53">
        <f>IF(AN145=21,I145,0)</f>
        <v>0</v>
      </c>
      <c r="AN145" s="53">
        <v>21</v>
      </c>
      <c r="AO145" s="53">
        <f>H145*0.2</f>
        <v>0</v>
      </c>
      <c r="AP145" s="53">
        <f>H145*(1-0.2)</f>
        <v>0</v>
      </c>
      <c r="AQ145" s="54" t="s">
        <v>154</v>
      </c>
      <c r="AV145" s="53">
        <f>AW145+AX145</f>
        <v>0</v>
      </c>
      <c r="AW145" s="53">
        <f>G145*AO145</f>
        <v>0</v>
      </c>
      <c r="AX145" s="53">
        <f>G145*AP145</f>
        <v>0</v>
      </c>
      <c r="AY145" s="54" t="s">
        <v>508</v>
      </c>
      <c r="AZ145" s="54" t="s">
        <v>509</v>
      </c>
      <c r="BA145" s="36" t="s">
        <v>510</v>
      </c>
      <c r="BC145" s="53">
        <f>AW145+AX145</f>
        <v>0</v>
      </c>
      <c r="BD145" s="53">
        <f>H145/(100-BE145)*100</f>
        <v>0</v>
      </c>
      <c r="BE145" s="53">
        <v>0</v>
      </c>
      <c r="BF145" s="53">
        <f>145</f>
        <v>145</v>
      </c>
      <c r="BH145" s="53">
        <f>G145*AO145</f>
        <v>0</v>
      </c>
      <c r="BI145" s="53">
        <f>G145*AP145</f>
        <v>0</v>
      </c>
      <c r="BJ145" s="53">
        <f>G145*H145</f>
        <v>0</v>
      </c>
      <c r="BK145" s="53"/>
      <c r="BL145" s="53">
        <v>79</v>
      </c>
      <c r="BW145" s="53">
        <v>21</v>
      </c>
      <c r="BX145" s="3" t="s">
        <v>507</v>
      </c>
    </row>
    <row r="146" spans="1:76" ht="14.4" x14ac:dyDescent="0.3">
      <c r="A146" s="50" t="s">
        <v>10</v>
      </c>
      <c r="B146" s="51" t="s">
        <v>511</v>
      </c>
      <c r="C146" s="51" t="s">
        <v>10</v>
      </c>
      <c r="D146" s="133" t="s">
        <v>512</v>
      </c>
      <c r="E146" s="134"/>
      <c r="F146" s="52" t="s">
        <v>80</v>
      </c>
      <c r="G146" s="52" t="s">
        <v>80</v>
      </c>
      <c r="H146" s="52" t="s">
        <v>80</v>
      </c>
      <c r="I146" s="28">
        <f>I147+I149+I159+I161</f>
        <v>0</v>
      </c>
      <c r="J146" s="36" t="s">
        <v>10</v>
      </c>
      <c r="K146" s="49"/>
    </row>
    <row r="147" spans="1:76" ht="14.4" x14ac:dyDescent="0.3">
      <c r="A147" s="50" t="s">
        <v>10</v>
      </c>
      <c r="B147" s="51" t="s">
        <v>511</v>
      </c>
      <c r="C147" s="51" t="s">
        <v>119</v>
      </c>
      <c r="D147" s="133" t="s">
        <v>120</v>
      </c>
      <c r="E147" s="134"/>
      <c r="F147" s="52" t="s">
        <v>80</v>
      </c>
      <c r="G147" s="52" t="s">
        <v>80</v>
      </c>
      <c r="H147" s="52" t="s">
        <v>80</v>
      </c>
      <c r="I147" s="28">
        <f>SUM(I148:I148)</f>
        <v>0</v>
      </c>
      <c r="J147" s="36" t="s">
        <v>10</v>
      </c>
      <c r="K147" s="49"/>
      <c r="AI147" s="36" t="s">
        <v>511</v>
      </c>
      <c r="AS147" s="28">
        <f>SUM(AJ148:AJ148)</f>
        <v>0</v>
      </c>
      <c r="AT147" s="28">
        <f>SUM(AK148:AK148)</f>
        <v>0</v>
      </c>
      <c r="AU147" s="28">
        <f>SUM(AL148:AL148)</f>
        <v>0</v>
      </c>
    </row>
    <row r="148" spans="1:76" ht="14.4" x14ac:dyDescent="0.3">
      <c r="A148" s="1" t="s">
        <v>128</v>
      </c>
      <c r="B148" s="2" t="s">
        <v>511</v>
      </c>
      <c r="C148" s="2" t="s">
        <v>513</v>
      </c>
      <c r="D148" s="62" t="s">
        <v>514</v>
      </c>
      <c r="E148" s="63"/>
      <c r="F148" s="2" t="s">
        <v>191</v>
      </c>
      <c r="G148" s="53">
        <v>13</v>
      </c>
      <c r="H148" s="53">
        <v>0</v>
      </c>
      <c r="I148" s="53">
        <f>G148*H148</f>
        <v>0</v>
      </c>
      <c r="J148" s="54" t="s">
        <v>149</v>
      </c>
      <c r="K148" s="49"/>
      <c r="Z148" s="53">
        <f>IF(AQ148="5",BJ148,0)</f>
        <v>0</v>
      </c>
      <c r="AB148" s="53">
        <f>IF(AQ148="1",BH148,0)</f>
        <v>0</v>
      </c>
      <c r="AC148" s="53">
        <f>IF(AQ148="1",BI148,0)</f>
        <v>0</v>
      </c>
      <c r="AD148" s="53">
        <f>IF(AQ148="7",BH148,0)</f>
        <v>0</v>
      </c>
      <c r="AE148" s="53">
        <f>IF(AQ148="7",BI148,0)</f>
        <v>0</v>
      </c>
      <c r="AF148" s="53">
        <f>IF(AQ148="2",BH148,0)</f>
        <v>0</v>
      </c>
      <c r="AG148" s="53">
        <f>IF(AQ148="2",BI148,0)</f>
        <v>0</v>
      </c>
      <c r="AH148" s="53">
        <f>IF(AQ148="0",BJ148,0)</f>
        <v>0</v>
      </c>
      <c r="AI148" s="36" t="s">
        <v>511</v>
      </c>
      <c r="AJ148" s="53">
        <f>IF(AN148=0,I148,0)</f>
        <v>0</v>
      </c>
      <c r="AK148" s="53">
        <f>IF(AN148=12,I148,0)</f>
        <v>0</v>
      </c>
      <c r="AL148" s="53">
        <f>IF(AN148=21,I148,0)</f>
        <v>0</v>
      </c>
      <c r="AN148" s="53">
        <v>21</v>
      </c>
      <c r="AO148" s="53">
        <f>H148*0.672951625</f>
        <v>0</v>
      </c>
      <c r="AP148" s="53">
        <f>H148*(1-0.672951625)</f>
        <v>0</v>
      </c>
      <c r="AQ148" s="54" t="s">
        <v>121</v>
      </c>
      <c r="AV148" s="53">
        <f>AW148+AX148</f>
        <v>0</v>
      </c>
      <c r="AW148" s="53">
        <f>G148*AO148</f>
        <v>0</v>
      </c>
      <c r="AX148" s="53">
        <f>G148*AP148</f>
        <v>0</v>
      </c>
      <c r="AY148" s="54" t="s">
        <v>125</v>
      </c>
      <c r="AZ148" s="54" t="s">
        <v>515</v>
      </c>
      <c r="BA148" s="36" t="s">
        <v>516</v>
      </c>
      <c r="BC148" s="53">
        <f>AW148+AX148</f>
        <v>0</v>
      </c>
      <c r="BD148" s="53">
        <f>H148/(100-BE148)*100</f>
        <v>0</v>
      </c>
      <c r="BE148" s="53">
        <v>0</v>
      </c>
      <c r="BF148" s="53">
        <f>148</f>
        <v>148</v>
      </c>
      <c r="BH148" s="53">
        <f>G148*AO148</f>
        <v>0</v>
      </c>
      <c r="BI148" s="53">
        <f>G148*AP148</f>
        <v>0</v>
      </c>
      <c r="BJ148" s="53">
        <f>G148*H148</f>
        <v>0</v>
      </c>
      <c r="BK148" s="53"/>
      <c r="BL148" s="53">
        <v>0</v>
      </c>
      <c r="BW148" s="53">
        <v>21</v>
      </c>
      <c r="BX148" s="3" t="s">
        <v>514</v>
      </c>
    </row>
    <row r="149" spans="1:76" ht="14.4" x14ac:dyDescent="0.3">
      <c r="A149" s="50" t="s">
        <v>10</v>
      </c>
      <c r="B149" s="51" t="s">
        <v>511</v>
      </c>
      <c r="C149" s="51" t="s">
        <v>325</v>
      </c>
      <c r="D149" s="133" t="s">
        <v>326</v>
      </c>
      <c r="E149" s="134"/>
      <c r="F149" s="52" t="s">
        <v>80</v>
      </c>
      <c r="G149" s="52" t="s">
        <v>80</v>
      </c>
      <c r="H149" s="52" t="s">
        <v>80</v>
      </c>
      <c r="I149" s="28">
        <f>SUM(I150:I158)</f>
        <v>0</v>
      </c>
      <c r="J149" s="36" t="s">
        <v>10</v>
      </c>
      <c r="K149" s="49"/>
      <c r="AI149" s="36" t="s">
        <v>511</v>
      </c>
      <c r="AS149" s="28">
        <f>SUM(AJ150:AJ158)</f>
        <v>0</v>
      </c>
      <c r="AT149" s="28">
        <f>SUM(AK150:AK158)</f>
        <v>0</v>
      </c>
      <c r="AU149" s="28">
        <f>SUM(AL150:AL158)</f>
        <v>0</v>
      </c>
    </row>
    <row r="150" spans="1:76" ht="14.4" x14ac:dyDescent="0.3">
      <c r="A150" s="1" t="s">
        <v>517</v>
      </c>
      <c r="B150" s="2" t="s">
        <v>511</v>
      </c>
      <c r="C150" s="2" t="s">
        <v>207</v>
      </c>
      <c r="D150" s="62" t="s">
        <v>208</v>
      </c>
      <c r="E150" s="63"/>
      <c r="F150" s="2" t="s">
        <v>177</v>
      </c>
      <c r="G150" s="53">
        <v>35</v>
      </c>
      <c r="H150" s="53">
        <v>0</v>
      </c>
      <c r="I150" s="53">
        <f>G150*H150</f>
        <v>0</v>
      </c>
      <c r="J150" s="54" t="s">
        <v>149</v>
      </c>
      <c r="K150" s="49"/>
      <c r="Z150" s="53">
        <f>IF(AQ150="5",BJ150,0)</f>
        <v>0</v>
      </c>
      <c r="AB150" s="53">
        <f>IF(AQ150="1",BH150,0)</f>
        <v>0</v>
      </c>
      <c r="AC150" s="53">
        <f>IF(AQ150="1",BI150,0)</f>
        <v>0</v>
      </c>
      <c r="AD150" s="53">
        <f>IF(AQ150="7",BH150,0)</f>
        <v>0</v>
      </c>
      <c r="AE150" s="53">
        <f>IF(AQ150="7",BI150,0)</f>
        <v>0</v>
      </c>
      <c r="AF150" s="53">
        <f>IF(AQ150="2",BH150,0)</f>
        <v>0</v>
      </c>
      <c r="AG150" s="53">
        <f>IF(AQ150="2",BI150,0)</f>
        <v>0</v>
      </c>
      <c r="AH150" s="53">
        <f>IF(AQ150="0",BJ150,0)</f>
        <v>0</v>
      </c>
      <c r="AI150" s="36" t="s">
        <v>511</v>
      </c>
      <c r="AJ150" s="53">
        <f>IF(AN150=0,I150,0)</f>
        <v>0</v>
      </c>
      <c r="AK150" s="53">
        <f>IF(AN150=12,I150,0)</f>
        <v>0</v>
      </c>
      <c r="AL150" s="53">
        <f>IF(AN150=21,I150,0)</f>
        <v>0</v>
      </c>
      <c r="AN150" s="53">
        <v>21</v>
      </c>
      <c r="AO150" s="53">
        <f>H150*0</f>
        <v>0</v>
      </c>
      <c r="AP150" s="53">
        <f>H150*(1-0)</f>
        <v>0</v>
      </c>
      <c r="AQ150" s="54" t="s">
        <v>154</v>
      </c>
      <c r="AV150" s="53">
        <f>AW150+AX150</f>
        <v>0</v>
      </c>
      <c r="AW150" s="53">
        <f>G150*AO150</f>
        <v>0</v>
      </c>
      <c r="AX150" s="53">
        <f>G150*AP150</f>
        <v>0</v>
      </c>
      <c r="AY150" s="54" t="s">
        <v>330</v>
      </c>
      <c r="AZ150" s="54" t="s">
        <v>518</v>
      </c>
      <c r="BA150" s="36" t="s">
        <v>516</v>
      </c>
      <c r="BC150" s="53">
        <f>AW150+AX150</f>
        <v>0</v>
      </c>
      <c r="BD150" s="53">
        <f>H150/(100-BE150)*100</f>
        <v>0</v>
      </c>
      <c r="BE150" s="53">
        <v>0</v>
      </c>
      <c r="BF150" s="53">
        <f>150</f>
        <v>150</v>
      </c>
      <c r="BH150" s="53">
        <f>G150*AO150</f>
        <v>0</v>
      </c>
      <c r="BI150" s="53">
        <f>G150*AP150</f>
        <v>0</v>
      </c>
      <c r="BJ150" s="53">
        <f>G150*H150</f>
        <v>0</v>
      </c>
      <c r="BK150" s="53"/>
      <c r="BL150" s="53">
        <v>712</v>
      </c>
      <c r="BW150" s="53">
        <v>21</v>
      </c>
      <c r="BX150" s="3" t="s">
        <v>208</v>
      </c>
    </row>
    <row r="151" spans="1:76" ht="13.5" customHeight="1" x14ac:dyDescent="0.3">
      <c r="A151" s="55"/>
      <c r="C151" s="56" t="s">
        <v>209</v>
      </c>
      <c r="D151" s="136" t="s">
        <v>210</v>
      </c>
      <c r="E151" s="137"/>
      <c r="F151" s="137"/>
      <c r="G151" s="137"/>
      <c r="H151" s="137"/>
      <c r="I151" s="137"/>
      <c r="J151" s="137"/>
      <c r="K151" s="138"/>
    </row>
    <row r="152" spans="1:76" ht="14.4" x14ac:dyDescent="0.3">
      <c r="A152" s="1" t="s">
        <v>519</v>
      </c>
      <c r="B152" s="2" t="s">
        <v>511</v>
      </c>
      <c r="C152" s="2" t="s">
        <v>520</v>
      </c>
      <c r="D152" s="62" t="s">
        <v>521</v>
      </c>
      <c r="E152" s="63"/>
      <c r="F152" s="2" t="s">
        <v>177</v>
      </c>
      <c r="G152" s="53">
        <v>35</v>
      </c>
      <c r="H152" s="53">
        <v>0</v>
      </c>
      <c r="I152" s="53">
        <f>G152*H152</f>
        <v>0</v>
      </c>
      <c r="J152" s="54" t="s">
        <v>149</v>
      </c>
      <c r="K152" s="49"/>
      <c r="Z152" s="53">
        <f>IF(AQ152="5",BJ152,0)</f>
        <v>0</v>
      </c>
      <c r="AB152" s="53">
        <f>IF(AQ152="1",BH152,0)</f>
        <v>0</v>
      </c>
      <c r="AC152" s="53">
        <f>IF(AQ152="1",BI152,0)</f>
        <v>0</v>
      </c>
      <c r="AD152" s="53">
        <f>IF(AQ152="7",BH152,0)</f>
        <v>0</v>
      </c>
      <c r="AE152" s="53">
        <f>IF(AQ152="7",BI152,0)</f>
        <v>0</v>
      </c>
      <c r="AF152" s="53">
        <f>IF(AQ152="2",BH152,0)</f>
        <v>0</v>
      </c>
      <c r="AG152" s="53">
        <f>IF(AQ152="2",BI152,0)</f>
        <v>0</v>
      </c>
      <c r="AH152" s="53">
        <f>IF(AQ152="0",BJ152,0)</f>
        <v>0</v>
      </c>
      <c r="AI152" s="36" t="s">
        <v>511</v>
      </c>
      <c r="AJ152" s="53">
        <f>IF(AN152=0,I152,0)</f>
        <v>0</v>
      </c>
      <c r="AK152" s="53">
        <f>IF(AN152=12,I152,0)</f>
        <v>0</v>
      </c>
      <c r="AL152" s="53">
        <f>IF(AN152=21,I152,0)</f>
        <v>0</v>
      </c>
      <c r="AN152" s="53">
        <v>21</v>
      </c>
      <c r="AO152" s="53">
        <f>H152*0.737452693</f>
        <v>0</v>
      </c>
      <c r="AP152" s="53">
        <f>H152*(1-0.737452693)</f>
        <v>0</v>
      </c>
      <c r="AQ152" s="54" t="s">
        <v>154</v>
      </c>
      <c r="AV152" s="53">
        <f>AW152+AX152</f>
        <v>0</v>
      </c>
      <c r="AW152" s="53">
        <f>G152*AO152</f>
        <v>0</v>
      </c>
      <c r="AX152" s="53">
        <f>G152*AP152</f>
        <v>0</v>
      </c>
      <c r="AY152" s="54" t="s">
        <v>330</v>
      </c>
      <c r="AZ152" s="54" t="s">
        <v>518</v>
      </c>
      <c r="BA152" s="36" t="s">
        <v>516</v>
      </c>
      <c r="BC152" s="53">
        <f>AW152+AX152</f>
        <v>0</v>
      </c>
      <c r="BD152" s="53">
        <f>H152/(100-BE152)*100</f>
        <v>0</v>
      </c>
      <c r="BE152" s="53">
        <v>0</v>
      </c>
      <c r="BF152" s="53">
        <f>152</f>
        <v>152</v>
      </c>
      <c r="BH152" s="53">
        <f>G152*AO152</f>
        <v>0</v>
      </c>
      <c r="BI152" s="53">
        <f>G152*AP152</f>
        <v>0</v>
      </c>
      <c r="BJ152" s="53">
        <f>G152*H152</f>
        <v>0</v>
      </c>
      <c r="BK152" s="53"/>
      <c r="BL152" s="53">
        <v>712</v>
      </c>
      <c r="BW152" s="53">
        <v>21</v>
      </c>
      <c r="BX152" s="3" t="s">
        <v>521</v>
      </c>
    </row>
    <row r="153" spans="1:76" ht="13.5" customHeight="1" x14ac:dyDescent="0.3">
      <c r="A153" s="55"/>
      <c r="C153" s="56" t="s">
        <v>209</v>
      </c>
      <c r="D153" s="136" t="s">
        <v>522</v>
      </c>
      <c r="E153" s="137"/>
      <c r="F153" s="137"/>
      <c r="G153" s="137"/>
      <c r="H153" s="137"/>
      <c r="I153" s="137"/>
      <c r="J153" s="137"/>
      <c r="K153" s="138"/>
    </row>
    <row r="154" spans="1:76" ht="14.4" x14ac:dyDescent="0.3">
      <c r="A154" s="1" t="s">
        <v>523</v>
      </c>
      <c r="B154" s="2" t="s">
        <v>511</v>
      </c>
      <c r="C154" s="2" t="s">
        <v>320</v>
      </c>
      <c r="D154" s="62" t="s">
        <v>524</v>
      </c>
      <c r="E154" s="63"/>
      <c r="F154" s="2" t="s">
        <v>177</v>
      </c>
      <c r="G154" s="53">
        <v>35</v>
      </c>
      <c r="H154" s="53">
        <v>0</v>
      </c>
      <c r="I154" s="53">
        <f>G154*H154</f>
        <v>0</v>
      </c>
      <c r="J154" s="54" t="s">
        <v>149</v>
      </c>
      <c r="K154" s="49"/>
      <c r="Z154" s="53">
        <f>IF(AQ154="5",BJ154,0)</f>
        <v>0</v>
      </c>
      <c r="AB154" s="53">
        <f>IF(AQ154="1",BH154,0)</f>
        <v>0</v>
      </c>
      <c r="AC154" s="53">
        <f>IF(AQ154="1",BI154,0)</f>
        <v>0</v>
      </c>
      <c r="AD154" s="53">
        <f>IF(AQ154="7",BH154,0)</f>
        <v>0</v>
      </c>
      <c r="AE154" s="53">
        <f>IF(AQ154="7",BI154,0)</f>
        <v>0</v>
      </c>
      <c r="AF154" s="53">
        <f>IF(AQ154="2",BH154,0)</f>
        <v>0</v>
      </c>
      <c r="AG154" s="53">
        <f>IF(AQ154="2",BI154,0)</f>
        <v>0</v>
      </c>
      <c r="AH154" s="53">
        <f>IF(AQ154="0",BJ154,0)</f>
        <v>0</v>
      </c>
      <c r="AI154" s="36" t="s">
        <v>511</v>
      </c>
      <c r="AJ154" s="53">
        <f>IF(AN154=0,I154,0)</f>
        <v>0</v>
      </c>
      <c r="AK154" s="53">
        <f>IF(AN154=12,I154,0)</f>
        <v>0</v>
      </c>
      <c r="AL154" s="53">
        <f>IF(AN154=21,I154,0)</f>
        <v>0</v>
      </c>
      <c r="AN154" s="53">
        <v>21</v>
      </c>
      <c r="AO154" s="53">
        <f>H154*0</f>
        <v>0</v>
      </c>
      <c r="AP154" s="53">
        <f>H154*(1-0)</f>
        <v>0</v>
      </c>
      <c r="AQ154" s="54" t="s">
        <v>154</v>
      </c>
      <c r="AV154" s="53">
        <f>AW154+AX154</f>
        <v>0</v>
      </c>
      <c r="AW154" s="53">
        <f>G154*AO154</f>
        <v>0</v>
      </c>
      <c r="AX154" s="53">
        <f>G154*AP154</f>
        <v>0</v>
      </c>
      <c r="AY154" s="54" t="s">
        <v>330</v>
      </c>
      <c r="AZ154" s="54" t="s">
        <v>518</v>
      </c>
      <c r="BA154" s="36" t="s">
        <v>516</v>
      </c>
      <c r="BC154" s="53">
        <f>AW154+AX154</f>
        <v>0</v>
      </c>
      <c r="BD154" s="53">
        <f>H154/(100-BE154)*100</f>
        <v>0</v>
      </c>
      <c r="BE154" s="53">
        <v>0</v>
      </c>
      <c r="BF154" s="53">
        <f>154</f>
        <v>154</v>
      </c>
      <c r="BH154" s="53">
        <f>G154*AO154</f>
        <v>0</v>
      </c>
      <c r="BI154" s="53">
        <f>G154*AP154</f>
        <v>0</v>
      </c>
      <c r="BJ154" s="53">
        <f>G154*H154</f>
        <v>0</v>
      </c>
      <c r="BK154" s="53"/>
      <c r="BL154" s="53">
        <v>712</v>
      </c>
      <c r="BW154" s="53">
        <v>21</v>
      </c>
      <c r="BX154" s="3" t="s">
        <v>524</v>
      </c>
    </row>
    <row r="155" spans="1:76" ht="14.4" x14ac:dyDescent="0.3">
      <c r="A155" s="1" t="s">
        <v>525</v>
      </c>
      <c r="B155" s="2" t="s">
        <v>511</v>
      </c>
      <c r="C155" s="2" t="s">
        <v>305</v>
      </c>
      <c r="D155" s="62" t="s">
        <v>306</v>
      </c>
      <c r="E155" s="63"/>
      <c r="F155" s="2" t="s">
        <v>177</v>
      </c>
      <c r="G155" s="53">
        <v>35</v>
      </c>
      <c r="H155" s="53">
        <v>0</v>
      </c>
      <c r="I155" s="53">
        <f>G155*H155</f>
        <v>0</v>
      </c>
      <c r="J155" s="54" t="s">
        <v>141</v>
      </c>
      <c r="K155" s="49"/>
      <c r="Z155" s="53">
        <f>IF(AQ155="5",BJ155,0)</f>
        <v>0</v>
      </c>
      <c r="AB155" s="53">
        <f>IF(AQ155="1",BH155,0)</f>
        <v>0</v>
      </c>
      <c r="AC155" s="53">
        <f>IF(AQ155="1",BI155,0)</f>
        <v>0</v>
      </c>
      <c r="AD155" s="53">
        <f>IF(AQ155="7",BH155,0)</f>
        <v>0</v>
      </c>
      <c r="AE155" s="53">
        <f>IF(AQ155="7",BI155,0)</f>
        <v>0</v>
      </c>
      <c r="AF155" s="53">
        <f>IF(AQ155="2",BH155,0)</f>
        <v>0</v>
      </c>
      <c r="AG155" s="53">
        <f>IF(AQ155="2",BI155,0)</f>
        <v>0</v>
      </c>
      <c r="AH155" s="53">
        <f>IF(AQ155="0",BJ155,0)</f>
        <v>0</v>
      </c>
      <c r="AI155" s="36" t="s">
        <v>511</v>
      </c>
      <c r="AJ155" s="53">
        <f>IF(AN155=0,I155,0)</f>
        <v>0</v>
      </c>
      <c r="AK155" s="53">
        <f>IF(AN155=12,I155,0)</f>
        <v>0</v>
      </c>
      <c r="AL155" s="53">
        <f>IF(AN155=21,I155,0)</f>
        <v>0</v>
      </c>
      <c r="AN155" s="53">
        <v>21</v>
      </c>
      <c r="AO155" s="53">
        <f>H155*0.292103321</f>
        <v>0</v>
      </c>
      <c r="AP155" s="53">
        <f>H155*(1-0.292103321)</f>
        <v>0</v>
      </c>
      <c r="AQ155" s="54" t="s">
        <v>154</v>
      </c>
      <c r="AV155" s="53">
        <f>AW155+AX155</f>
        <v>0</v>
      </c>
      <c r="AW155" s="53">
        <f>G155*AO155</f>
        <v>0</v>
      </c>
      <c r="AX155" s="53">
        <f>G155*AP155</f>
        <v>0</v>
      </c>
      <c r="AY155" s="54" t="s">
        <v>330</v>
      </c>
      <c r="AZ155" s="54" t="s">
        <v>518</v>
      </c>
      <c r="BA155" s="36" t="s">
        <v>516</v>
      </c>
      <c r="BC155" s="53">
        <f>AW155+AX155</f>
        <v>0</v>
      </c>
      <c r="BD155" s="53">
        <f>H155/(100-BE155)*100</f>
        <v>0</v>
      </c>
      <c r="BE155" s="53">
        <v>0</v>
      </c>
      <c r="BF155" s="53">
        <f>155</f>
        <v>155</v>
      </c>
      <c r="BH155" s="53">
        <f>G155*AO155</f>
        <v>0</v>
      </c>
      <c r="BI155" s="53">
        <f>G155*AP155</f>
        <v>0</v>
      </c>
      <c r="BJ155" s="53">
        <f>G155*H155</f>
        <v>0</v>
      </c>
      <c r="BK155" s="53"/>
      <c r="BL155" s="53">
        <v>712</v>
      </c>
      <c r="BW155" s="53">
        <v>21</v>
      </c>
      <c r="BX155" s="3" t="s">
        <v>306</v>
      </c>
    </row>
    <row r="156" spans="1:76" ht="14.4" x14ac:dyDescent="0.3">
      <c r="A156" s="1" t="s">
        <v>381</v>
      </c>
      <c r="B156" s="2" t="s">
        <v>511</v>
      </c>
      <c r="C156" s="2" t="s">
        <v>341</v>
      </c>
      <c r="D156" s="62" t="s">
        <v>342</v>
      </c>
      <c r="E156" s="63"/>
      <c r="F156" s="2" t="s">
        <v>177</v>
      </c>
      <c r="G156" s="53">
        <v>35</v>
      </c>
      <c r="H156" s="53">
        <v>0</v>
      </c>
      <c r="I156" s="53">
        <f>G156*H156</f>
        <v>0</v>
      </c>
      <c r="J156" s="54" t="s">
        <v>141</v>
      </c>
      <c r="K156" s="49"/>
      <c r="Z156" s="53">
        <f>IF(AQ156="5",BJ156,0)</f>
        <v>0</v>
      </c>
      <c r="AB156" s="53">
        <f>IF(AQ156="1",BH156,0)</f>
        <v>0</v>
      </c>
      <c r="AC156" s="53">
        <f>IF(AQ156="1",BI156,0)</f>
        <v>0</v>
      </c>
      <c r="AD156" s="53">
        <f>IF(AQ156="7",BH156,0)</f>
        <v>0</v>
      </c>
      <c r="AE156" s="53">
        <f>IF(AQ156="7",BI156,0)</f>
        <v>0</v>
      </c>
      <c r="AF156" s="53">
        <f>IF(AQ156="2",BH156,0)</f>
        <v>0</v>
      </c>
      <c r="AG156" s="53">
        <f>IF(AQ156="2",BI156,0)</f>
        <v>0</v>
      </c>
      <c r="AH156" s="53">
        <f>IF(AQ156="0",BJ156,0)</f>
        <v>0</v>
      </c>
      <c r="AI156" s="36" t="s">
        <v>511</v>
      </c>
      <c r="AJ156" s="53">
        <f>IF(AN156=0,I156,0)</f>
        <v>0</v>
      </c>
      <c r="AK156" s="53">
        <f>IF(AN156=12,I156,0)</f>
        <v>0</v>
      </c>
      <c r="AL156" s="53">
        <f>IF(AN156=21,I156,0)</f>
        <v>0</v>
      </c>
      <c r="AN156" s="53">
        <v>21</v>
      </c>
      <c r="AO156" s="53">
        <f>H156*1</f>
        <v>0</v>
      </c>
      <c r="AP156" s="53">
        <f>H156*(1-1)</f>
        <v>0</v>
      </c>
      <c r="AQ156" s="54" t="s">
        <v>154</v>
      </c>
      <c r="AV156" s="53">
        <f>AW156+AX156</f>
        <v>0</v>
      </c>
      <c r="AW156" s="53">
        <f>G156*AO156</f>
        <v>0</v>
      </c>
      <c r="AX156" s="53">
        <f>G156*AP156</f>
        <v>0</v>
      </c>
      <c r="AY156" s="54" t="s">
        <v>330</v>
      </c>
      <c r="AZ156" s="54" t="s">
        <v>518</v>
      </c>
      <c r="BA156" s="36" t="s">
        <v>516</v>
      </c>
      <c r="BC156" s="53">
        <f>AW156+AX156</f>
        <v>0</v>
      </c>
      <c r="BD156" s="53">
        <f>H156/(100-BE156)*100</f>
        <v>0</v>
      </c>
      <c r="BE156" s="53">
        <v>0</v>
      </c>
      <c r="BF156" s="53">
        <f>156</f>
        <v>156</v>
      </c>
      <c r="BH156" s="53">
        <f>G156*AO156</f>
        <v>0</v>
      </c>
      <c r="BI156" s="53">
        <f>G156*AP156</f>
        <v>0</v>
      </c>
      <c r="BJ156" s="53">
        <f>G156*H156</f>
        <v>0</v>
      </c>
      <c r="BK156" s="53"/>
      <c r="BL156" s="53">
        <v>712</v>
      </c>
      <c r="BW156" s="53">
        <v>21</v>
      </c>
      <c r="BX156" s="3" t="s">
        <v>342</v>
      </c>
    </row>
    <row r="157" spans="1:76" ht="14.4" x14ac:dyDescent="0.3">
      <c r="A157" s="1" t="s">
        <v>181</v>
      </c>
      <c r="B157" s="2" t="s">
        <v>511</v>
      </c>
      <c r="C157" s="2" t="s">
        <v>338</v>
      </c>
      <c r="D157" s="62" t="s">
        <v>339</v>
      </c>
      <c r="E157" s="63"/>
      <c r="F157" s="2" t="s">
        <v>198</v>
      </c>
      <c r="G157" s="53">
        <v>6</v>
      </c>
      <c r="H157" s="53">
        <v>0</v>
      </c>
      <c r="I157" s="53">
        <f>G157*H157</f>
        <v>0</v>
      </c>
      <c r="J157" s="54" t="s">
        <v>141</v>
      </c>
      <c r="K157" s="49"/>
      <c r="Z157" s="53">
        <f>IF(AQ157="5",BJ157,0)</f>
        <v>0</v>
      </c>
      <c r="AB157" s="53">
        <f>IF(AQ157="1",BH157,0)</f>
        <v>0</v>
      </c>
      <c r="AC157" s="53">
        <f>IF(AQ157="1",BI157,0)</f>
        <v>0</v>
      </c>
      <c r="AD157" s="53">
        <f>IF(AQ157="7",BH157,0)</f>
        <v>0</v>
      </c>
      <c r="AE157" s="53">
        <f>IF(AQ157="7",BI157,0)</f>
        <v>0</v>
      </c>
      <c r="AF157" s="53">
        <f>IF(AQ157="2",BH157,0)</f>
        <v>0</v>
      </c>
      <c r="AG157" s="53">
        <f>IF(AQ157="2",BI157,0)</f>
        <v>0</v>
      </c>
      <c r="AH157" s="53">
        <f>IF(AQ157="0",BJ157,0)</f>
        <v>0</v>
      </c>
      <c r="AI157" s="36" t="s">
        <v>511</v>
      </c>
      <c r="AJ157" s="53">
        <f>IF(AN157=0,I157,0)</f>
        <v>0</v>
      </c>
      <c r="AK157" s="53">
        <f>IF(AN157=12,I157,0)</f>
        <v>0</v>
      </c>
      <c r="AL157" s="53">
        <f>IF(AN157=21,I157,0)</f>
        <v>0</v>
      </c>
      <c r="AN157" s="53">
        <v>21</v>
      </c>
      <c r="AO157" s="53">
        <f>H157*1</f>
        <v>0</v>
      </c>
      <c r="AP157" s="53">
        <f>H157*(1-1)</f>
        <v>0</v>
      </c>
      <c r="AQ157" s="54" t="s">
        <v>154</v>
      </c>
      <c r="AV157" s="53">
        <f>AW157+AX157</f>
        <v>0</v>
      </c>
      <c r="AW157" s="53">
        <f>G157*AO157</f>
        <v>0</v>
      </c>
      <c r="AX157" s="53">
        <f>G157*AP157</f>
        <v>0</v>
      </c>
      <c r="AY157" s="54" t="s">
        <v>330</v>
      </c>
      <c r="AZ157" s="54" t="s">
        <v>518</v>
      </c>
      <c r="BA157" s="36" t="s">
        <v>516</v>
      </c>
      <c r="BC157" s="53">
        <f>AW157+AX157</f>
        <v>0</v>
      </c>
      <c r="BD157" s="53">
        <f>H157/(100-BE157)*100</f>
        <v>0</v>
      </c>
      <c r="BE157" s="53">
        <v>0</v>
      </c>
      <c r="BF157" s="53">
        <f>157</f>
        <v>157</v>
      </c>
      <c r="BH157" s="53">
        <f>G157*AO157</f>
        <v>0</v>
      </c>
      <c r="BI157" s="53">
        <f>G157*AP157</f>
        <v>0</v>
      </c>
      <c r="BJ157" s="53">
        <f>G157*H157</f>
        <v>0</v>
      </c>
      <c r="BK157" s="53"/>
      <c r="BL157" s="53">
        <v>712</v>
      </c>
      <c r="BW157" s="53">
        <v>21</v>
      </c>
      <c r="BX157" s="3" t="s">
        <v>339</v>
      </c>
    </row>
    <row r="158" spans="1:76" ht="14.4" x14ac:dyDescent="0.3">
      <c r="A158" s="1" t="s">
        <v>218</v>
      </c>
      <c r="B158" s="2" t="s">
        <v>511</v>
      </c>
      <c r="C158" s="2" t="s">
        <v>334</v>
      </c>
      <c r="D158" s="62" t="s">
        <v>335</v>
      </c>
      <c r="E158" s="63"/>
      <c r="F158" s="2" t="s">
        <v>177</v>
      </c>
      <c r="G158" s="53">
        <v>35</v>
      </c>
      <c r="H158" s="53">
        <v>0</v>
      </c>
      <c r="I158" s="53">
        <f>G158*H158</f>
        <v>0</v>
      </c>
      <c r="J158" s="54" t="s">
        <v>141</v>
      </c>
      <c r="K158" s="49"/>
      <c r="Z158" s="53">
        <f>IF(AQ158="5",BJ158,0)</f>
        <v>0</v>
      </c>
      <c r="AB158" s="53">
        <f>IF(AQ158="1",BH158,0)</f>
        <v>0</v>
      </c>
      <c r="AC158" s="53">
        <f>IF(AQ158="1",BI158,0)</f>
        <v>0</v>
      </c>
      <c r="AD158" s="53">
        <f>IF(AQ158="7",BH158,0)</f>
        <v>0</v>
      </c>
      <c r="AE158" s="53">
        <f>IF(AQ158="7",BI158,0)</f>
        <v>0</v>
      </c>
      <c r="AF158" s="53">
        <f>IF(AQ158="2",BH158,0)</f>
        <v>0</v>
      </c>
      <c r="AG158" s="53">
        <f>IF(AQ158="2",BI158,0)</f>
        <v>0</v>
      </c>
      <c r="AH158" s="53">
        <f>IF(AQ158="0",BJ158,0)</f>
        <v>0</v>
      </c>
      <c r="AI158" s="36" t="s">
        <v>511</v>
      </c>
      <c r="AJ158" s="53">
        <f>IF(AN158=0,I158,0)</f>
        <v>0</v>
      </c>
      <c r="AK158" s="53">
        <f>IF(AN158=12,I158,0)</f>
        <v>0</v>
      </c>
      <c r="AL158" s="53">
        <f>IF(AN158=21,I158,0)</f>
        <v>0</v>
      </c>
      <c r="AN158" s="53">
        <v>21</v>
      </c>
      <c r="AO158" s="53">
        <f>H158*0.491975052</f>
        <v>0</v>
      </c>
      <c r="AP158" s="53">
        <f>H158*(1-0.491975052)</f>
        <v>0</v>
      </c>
      <c r="AQ158" s="54" t="s">
        <v>154</v>
      </c>
      <c r="AV158" s="53">
        <f>AW158+AX158</f>
        <v>0</v>
      </c>
      <c r="AW158" s="53">
        <f>G158*AO158</f>
        <v>0</v>
      </c>
      <c r="AX158" s="53">
        <f>G158*AP158</f>
        <v>0</v>
      </c>
      <c r="AY158" s="54" t="s">
        <v>330</v>
      </c>
      <c r="AZ158" s="54" t="s">
        <v>518</v>
      </c>
      <c r="BA158" s="36" t="s">
        <v>516</v>
      </c>
      <c r="BC158" s="53">
        <f>AW158+AX158</f>
        <v>0</v>
      </c>
      <c r="BD158" s="53">
        <f>H158/(100-BE158)*100</f>
        <v>0</v>
      </c>
      <c r="BE158" s="53">
        <v>0</v>
      </c>
      <c r="BF158" s="53">
        <f>158</f>
        <v>158</v>
      </c>
      <c r="BH158" s="53">
        <f>G158*AO158</f>
        <v>0</v>
      </c>
      <c r="BI158" s="53">
        <f>G158*AP158</f>
        <v>0</v>
      </c>
      <c r="BJ158" s="53">
        <f>G158*H158</f>
        <v>0</v>
      </c>
      <c r="BK158" s="53"/>
      <c r="BL158" s="53">
        <v>712</v>
      </c>
      <c r="BW158" s="53">
        <v>21</v>
      </c>
      <c r="BX158" s="3" t="s">
        <v>335</v>
      </c>
    </row>
    <row r="159" spans="1:76" ht="14.4" x14ac:dyDescent="0.3">
      <c r="A159" s="50" t="s">
        <v>10</v>
      </c>
      <c r="B159" s="51" t="s">
        <v>511</v>
      </c>
      <c r="C159" s="51" t="s">
        <v>470</v>
      </c>
      <c r="D159" s="133" t="s">
        <v>471</v>
      </c>
      <c r="E159" s="134"/>
      <c r="F159" s="52" t="s">
        <v>80</v>
      </c>
      <c r="G159" s="52" t="s">
        <v>80</v>
      </c>
      <c r="H159" s="52" t="s">
        <v>80</v>
      </c>
      <c r="I159" s="28">
        <f>SUM(I160:I160)</f>
        <v>0</v>
      </c>
      <c r="J159" s="36" t="s">
        <v>10</v>
      </c>
      <c r="K159" s="49"/>
      <c r="AI159" s="36" t="s">
        <v>511</v>
      </c>
      <c r="AS159" s="28">
        <f>SUM(AJ160:AJ160)</f>
        <v>0</v>
      </c>
      <c r="AT159" s="28">
        <f>SUM(AK160:AK160)</f>
        <v>0</v>
      </c>
      <c r="AU159" s="28">
        <f>SUM(AL160:AL160)</f>
        <v>0</v>
      </c>
    </row>
    <row r="160" spans="1:76" ht="14.4" x14ac:dyDescent="0.3">
      <c r="A160" s="1" t="s">
        <v>526</v>
      </c>
      <c r="B160" s="2" t="s">
        <v>511</v>
      </c>
      <c r="C160" s="2" t="s">
        <v>527</v>
      </c>
      <c r="D160" s="62" t="s">
        <v>528</v>
      </c>
      <c r="E160" s="63"/>
      <c r="F160" s="2" t="s">
        <v>202</v>
      </c>
      <c r="G160" s="53">
        <v>1</v>
      </c>
      <c r="H160" s="53">
        <v>0</v>
      </c>
      <c r="I160" s="53">
        <f>G160*H160</f>
        <v>0</v>
      </c>
      <c r="J160" s="54" t="s">
        <v>149</v>
      </c>
      <c r="K160" s="49"/>
      <c r="Z160" s="53">
        <f>IF(AQ160="5",BJ160,0)</f>
        <v>0</v>
      </c>
      <c r="AB160" s="53">
        <f>IF(AQ160="1",BH160,0)</f>
        <v>0</v>
      </c>
      <c r="AC160" s="53">
        <f>IF(AQ160="1",BI160,0)</f>
        <v>0</v>
      </c>
      <c r="AD160" s="53">
        <f>IF(AQ160="7",BH160,0)</f>
        <v>0</v>
      </c>
      <c r="AE160" s="53">
        <f>IF(AQ160="7",BI160,0)</f>
        <v>0</v>
      </c>
      <c r="AF160" s="53">
        <f>IF(AQ160="2",BH160,0)</f>
        <v>0</v>
      </c>
      <c r="AG160" s="53">
        <f>IF(AQ160="2",BI160,0)</f>
        <v>0</v>
      </c>
      <c r="AH160" s="53">
        <f>IF(AQ160="0",BJ160,0)</f>
        <v>0</v>
      </c>
      <c r="AI160" s="36" t="s">
        <v>511</v>
      </c>
      <c r="AJ160" s="53">
        <f>IF(AN160=0,I160,0)</f>
        <v>0</v>
      </c>
      <c r="AK160" s="53">
        <f>IF(AN160=12,I160,0)</f>
        <v>0</v>
      </c>
      <c r="AL160" s="53">
        <f>IF(AN160=21,I160,0)</f>
        <v>0</v>
      </c>
      <c r="AN160" s="53">
        <v>21</v>
      </c>
      <c r="AO160" s="53">
        <f>H160*0</f>
        <v>0</v>
      </c>
      <c r="AP160" s="53">
        <f>H160*(1-0)</f>
        <v>0</v>
      </c>
      <c r="AQ160" s="54" t="s">
        <v>130</v>
      </c>
      <c r="AV160" s="53">
        <f>AW160+AX160</f>
        <v>0</v>
      </c>
      <c r="AW160" s="53">
        <f>G160*AO160</f>
        <v>0</v>
      </c>
      <c r="AX160" s="53">
        <f>G160*AP160</f>
        <v>0</v>
      </c>
      <c r="AY160" s="54" t="s">
        <v>476</v>
      </c>
      <c r="AZ160" s="54" t="s">
        <v>529</v>
      </c>
      <c r="BA160" s="36" t="s">
        <v>516</v>
      </c>
      <c r="BC160" s="53">
        <f>AW160+AX160</f>
        <v>0</v>
      </c>
      <c r="BD160" s="53">
        <f>H160/(100-BE160)*100</f>
        <v>0</v>
      </c>
      <c r="BE160" s="53">
        <v>0</v>
      </c>
      <c r="BF160" s="53">
        <f>160</f>
        <v>160</v>
      </c>
      <c r="BH160" s="53">
        <f>G160*AO160</f>
        <v>0</v>
      </c>
      <c r="BI160" s="53">
        <f>G160*AP160</f>
        <v>0</v>
      </c>
      <c r="BJ160" s="53">
        <f>G160*H160</f>
        <v>0</v>
      </c>
      <c r="BK160" s="53"/>
      <c r="BL160" s="53"/>
      <c r="BW160" s="53">
        <v>21</v>
      </c>
      <c r="BX160" s="3" t="s">
        <v>528</v>
      </c>
    </row>
    <row r="161" spans="1:76" ht="14.4" x14ac:dyDescent="0.3">
      <c r="A161" s="50" t="s">
        <v>10</v>
      </c>
      <c r="B161" s="51" t="s">
        <v>511</v>
      </c>
      <c r="C161" s="51" t="s">
        <v>388</v>
      </c>
      <c r="D161" s="133" t="s">
        <v>38</v>
      </c>
      <c r="E161" s="134"/>
      <c r="F161" s="52" t="s">
        <v>80</v>
      </c>
      <c r="G161" s="52" t="s">
        <v>80</v>
      </c>
      <c r="H161" s="52" t="s">
        <v>80</v>
      </c>
      <c r="I161" s="28">
        <f>SUM(I162:I162)</f>
        <v>0</v>
      </c>
      <c r="J161" s="36" t="s">
        <v>10</v>
      </c>
      <c r="K161" s="49"/>
      <c r="AI161" s="36" t="s">
        <v>511</v>
      </c>
      <c r="AS161" s="28">
        <f>SUM(AJ162:AJ162)</f>
        <v>0</v>
      </c>
      <c r="AT161" s="28">
        <f>SUM(AK162:AK162)</f>
        <v>0</v>
      </c>
      <c r="AU161" s="28">
        <f>SUM(AL162:AL162)</f>
        <v>0</v>
      </c>
    </row>
    <row r="162" spans="1:76" ht="14.4" x14ac:dyDescent="0.3">
      <c r="A162" s="4" t="s">
        <v>142</v>
      </c>
      <c r="B162" s="5" t="s">
        <v>511</v>
      </c>
      <c r="C162" s="5" t="s">
        <v>530</v>
      </c>
      <c r="D162" s="135" t="s">
        <v>531</v>
      </c>
      <c r="E162" s="99"/>
      <c r="F162" s="5" t="s">
        <v>202</v>
      </c>
      <c r="G162" s="57">
        <v>1</v>
      </c>
      <c r="H162" s="57">
        <v>0</v>
      </c>
      <c r="I162" s="57">
        <f>G162*H162</f>
        <v>0</v>
      </c>
      <c r="J162" s="58" t="s">
        <v>149</v>
      </c>
      <c r="K162" s="59"/>
      <c r="Z162" s="53">
        <f>IF(AQ162="5",BJ162,0)</f>
        <v>0</v>
      </c>
      <c r="AB162" s="53">
        <f>IF(AQ162="1",BH162,0)</f>
        <v>0</v>
      </c>
      <c r="AC162" s="53">
        <f>IF(AQ162="1",BI162,0)</f>
        <v>0</v>
      </c>
      <c r="AD162" s="53">
        <f>IF(AQ162="7",BH162,0)</f>
        <v>0</v>
      </c>
      <c r="AE162" s="53">
        <f>IF(AQ162="7",BI162,0)</f>
        <v>0</v>
      </c>
      <c r="AF162" s="53">
        <f>IF(AQ162="2",BH162,0)</f>
        <v>0</v>
      </c>
      <c r="AG162" s="53">
        <f>IF(AQ162="2",BI162,0)</f>
        <v>0</v>
      </c>
      <c r="AH162" s="53">
        <f>IF(AQ162="0",BJ162,0)</f>
        <v>0</v>
      </c>
      <c r="AI162" s="36" t="s">
        <v>511</v>
      </c>
      <c r="AJ162" s="53">
        <f>IF(AN162=0,I162,0)</f>
        <v>0</v>
      </c>
      <c r="AK162" s="53">
        <f>IF(AN162=12,I162,0)</f>
        <v>0</v>
      </c>
      <c r="AL162" s="53">
        <f>IF(AN162=21,I162,0)</f>
        <v>0</v>
      </c>
      <c r="AN162" s="53">
        <v>21</v>
      </c>
      <c r="AO162" s="53">
        <f>H162*1</f>
        <v>0</v>
      </c>
      <c r="AP162" s="53">
        <f>H162*(1-1)</f>
        <v>0</v>
      </c>
      <c r="AQ162" s="54" t="s">
        <v>119</v>
      </c>
      <c r="AV162" s="53">
        <f>AW162+AX162</f>
        <v>0</v>
      </c>
      <c r="AW162" s="53">
        <f>G162*AO162</f>
        <v>0</v>
      </c>
      <c r="AX162" s="53">
        <f>G162*AP162</f>
        <v>0</v>
      </c>
      <c r="AY162" s="54" t="s">
        <v>392</v>
      </c>
      <c r="AZ162" s="54" t="s">
        <v>532</v>
      </c>
      <c r="BA162" s="36" t="s">
        <v>516</v>
      </c>
      <c r="BC162" s="53">
        <f>AW162+AX162</f>
        <v>0</v>
      </c>
      <c r="BD162" s="53">
        <f>H162/(100-BE162)*100</f>
        <v>0</v>
      </c>
      <c r="BE162" s="53">
        <v>0</v>
      </c>
      <c r="BF162" s="53">
        <f>162</f>
        <v>162</v>
      </c>
      <c r="BH162" s="53">
        <f>G162*AO162</f>
        <v>0</v>
      </c>
      <c r="BI162" s="53">
        <f>G162*AP162</f>
        <v>0</v>
      </c>
      <c r="BJ162" s="53">
        <f>G162*H162</f>
        <v>0</v>
      </c>
      <c r="BK162" s="53"/>
      <c r="BL162" s="53"/>
      <c r="BW162" s="53">
        <v>21</v>
      </c>
      <c r="BX162" s="3" t="s">
        <v>531</v>
      </c>
    </row>
    <row r="163" spans="1:76" ht="14.4" x14ac:dyDescent="0.3">
      <c r="I163" s="60">
        <f>I13+I15+I18+I22+I25+I31+I33+I44+I48+I52+I54+I57+I59+I62+I64+I67+I79+I81+I90+I95+I97+I99+I105+I107+I109+I115+I118+I120+I126+I132+I134+I140+I144+I147+I149+I159+I161</f>
        <v>0</v>
      </c>
    </row>
    <row r="164" spans="1:76" ht="14.4" x14ac:dyDescent="0.3">
      <c r="A164" s="61" t="s">
        <v>58</v>
      </c>
    </row>
    <row r="165" spans="1:76" ht="12.75" customHeight="1" x14ac:dyDescent="0.3">
      <c r="A165" s="62" t="s">
        <v>10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</row>
  </sheetData>
  <mergeCells count="179"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J2:K3"/>
    <mergeCell ref="J4:K5"/>
    <mergeCell ref="J6:K7"/>
    <mergeCell ref="J8:K9"/>
    <mergeCell ref="D10:E10"/>
    <mergeCell ref="D8:E9"/>
    <mergeCell ref="H2:H3"/>
    <mergeCell ref="H4:H5"/>
    <mergeCell ref="H6:H7"/>
    <mergeCell ref="H8:H9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46:E46"/>
    <mergeCell ref="D47:E47"/>
    <mergeCell ref="D48:E48"/>
    <mergeCell ref="D49:E49"/>
    <mergeCell ref="D50:E50"/>
    <mergeCell ref="D41:K41"/>
    <mergeCell ref="D42:E42"/>
    <mergeCell ref="D43:E43"/>
    <mergeCell ref="D44:E44"/>
    <mergeCell ref="D45:E45"/>
    <mergeCell ref="D56:E56"/>
    <mergeCell ref="D57:E57"/>
    <mergeCell ref="D58:E58"/>
    <mergeCell ref="D59:E59"/>
    <mergeCell ref="D60:E60"/>
    <mergeCell ref="D51:E51"/>
    <mergeCell ref="D52:E52"/>
    <mergeCell ref="D53:E53"/>
    <mergeCell ref="D54:E54"/>
    <mergeCell ref="D55:E55"/>
    <mergeCell ref="D66:E66"/>
    <mergeCell ref="D67:E67"/>
    <mergeCell ref="D68:E68"/>
    <mergeCell ref="D69:K69"/>
    <mergeCell ref="D70:E70"/>
    <mergeCell ref="D61:E61"/>
    <mergeCell ref="D62:E62"/>
    <mergeCell ref="D63:E63"/>
    <mergeCell ref="D64:E64"/>
    <mergeCell ref="D65:E65"/>
    <mergeCell ref="D76:E76"/>
    <mergeCell ref="D77:E77"/>
    <mergeCell ref="D78:E78"/>
    <mergeCell ref="D79:E79"/>
    <mergeCell ref="D80:E80"/>
    <mergeCell ref="D71:E71"/>
    <mergeCell ref="D72:E72"/>
    <mergeCell ref="D73:E73"/>
    <mergeCell ref="D74:E74"/>
    <mergeCell ref="D75:K75"/>
    <mergeCell ref="D86:E86"/>
    <mergeCell ref="D87:E87"/>
    <mergeCell ref="D88:E88"/>
    <mergeCell ref="D89:E89"/>
    <mergeCell ref="D90:E90"/>
    <mergeCell ref="D81:E81"/>
    <mergeCell ref="D82:E82"/>
    <mergeCell ref="D83:E83"/>
    <mergeCell ref="D84:E84"/>
    <mergeCell ref="D85:E85"/>
    <mergeCell ref="D96:E96"/>
    <mergeCell ref="D97:E97"/>
    <mergeCell ref="D98:E98"/>
    <mergeCell ref="D99:E99"/>
    <mergeCell ref="D100:E100"/>
    <mergeCell ref="D91:E91"/>
    <mergeCell ref="D92:E92"/>
    <mergeCell ref="D93:E93"/>
    <mergeCell ref="D94:E94"/>
    <mergeCell ref="D95:E95"/>
    <mergeCell ref="D106:E106"/>
    <mergeCell ref="D107:E107"/>
    <mergeCell ref="D108:E108"/>
    <mergeCell ref="D109:E109"/>
    <mergeCell ref="D110:E110"/>
    <mergeCell ref="D101:E101"/>
    <mergeCell ref="D102:E102"/>
    <mergeCell ref="D103:E103"/>
    <mergeCell ref="D104:E104"/>
    <mergeCell ref="D105:E105"/>
    <mergeCell ref="D116:E116"/>
    <mergeCell ref="D117:E117"/>
    <mergeCell ref="D118:E118"/>
    <mergeCell ref="D119:E119"/>
    <mergeCell ref="D120:E120"/>
    <mergeCell ref="D111:E111"/>
    <mergeCell ref="D112:E112"/>
    <mergeCell ref="D113:E113"/>
    <mergeCell ref="D114:E114"/>
    <mergeCell ref="D115:E115"/>
    <mergeCell ref="D126:E126"/>
    <mergeCell ref="D127:E127"/>
    <mergeCell ref="D128:E128"/>
    <mergeCell ref="D129:K129"/>
    <mergeCell ref="D130:E130"/>
    <mergeCell ref="D121:E121"/>
    <mergeCell ref="D122:E122"/>
    <mergeCell ref="D123:E123"/>
    <mergeCell ref="D124:E124"/>
    <mergeCell ref="D125:E125"/>
    <mergeCell ref="D136:E136"/>
    <mergeCell ref="D137:E137"/>
    <mergeCell ref="D138:E138"/>
    <mergeCell ref="D139:E139"/>
    <mergeCell ref="D140:E140"/>
    <mergeCell ref="D131:K131"/>
    <mergeCell ref="D132:E132"/>
    <mergeCell ref="D133:E133"/>
    <mergeCell ref="D134:E134"/>
    <mergeCell ref="D135:E135"/>
    <mergeCell ref="D146:E146"/>
    <mergeCell ref="D147:E147"/>
    <mergeCell ref="D148:E148"/>
    <mergeCell ref="D149:E149"/>
    <mergeCell ref="D150:E150"/>
    <mergeCell ref="D141:E141"/>
    <mergeCell ref="D142:E142"/>
    <mergeCell ref="D143:E143"/>
    <mergeCell ref="D144:E144"/>
    <mergeCell ref="D145:E145"/>
    <mergeCell ref="D161:E161"/>
    <mergeCell ref="D162:E162"/>
    <mergeCell ref="A165:K165"/>
    <mergeCell ref="D156:E156"/>
    <mergeCell ref="D157:E157"/>
    <mergeCell ref="D158:E158"/>
    <mergeCell ref="D159:E159"/>
    <mergeCell ref="D160:E160"/>
    <mergeCell ref="D151:K151"/>
    <mergeCell ref="D152:E152"/>
    <mergeCell ref="D153:K153"/>
    <mergeCell ref="D154:E154"/>
    <mergeCell ref="D155:E15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Rumlová Yveta</cp:lastModifiedBy>
  <dcterms:created xsi:type="dcterms:W3CDTF">2021-06-10T20:06:38Z</dcterms:created>
  <dcterms:modified xsi:type="dcterms:W3CDTF">2024-07-23T13:42:08Z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2024-07-23T13:40:41Z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9372203b-b7b9-4582-99dc-dec426545162</vt:lpwstr>
  </property>
  <property fmtid="{D5CDD505-2E9C-101B-9397-08002B2CF9AE}" pid="8" name="MSIP_Label_690ebb53-23a2-471a-9c6e-17bd0d11311e_ContentBits">
    <vt:lpwstr>0</vt:lpwstr>
  </property>
</Properties>
</file>