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2_DNS_Odpadni_pytle_24-30\09_VYZVY\01\01_ZD\"/>
    </mc:Choice>
  </mc:AlternateContent>
  <xr:revisionPtr revIDLastSave="0" documentId="13_ncr:1_{96CA8E8D-300C-469B-A4B1-23736A651961}" xr6:coauthVersionLast="47" xr6:coauthVersionMax="47" xr10:uidLastSave="{00000000-0000-0000-0000-000000000000}"/>
  <bookViews>
    <workbookView xWindow="2565" yWindow="0" windowWidth="33090" windowHeight="21000" tabRatio="604" xr2:uid="{00000000-000D-0000-FFFF-FFFF00000000}"/>
  </bookViews>
  <sheets>
    <sheet name="obj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62" i="2" l="1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9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CC4" i="2"/>
  <c r="CC3" i="2"/>
  <c r="CC2" i="2"/>
</calcChain>
</file>

<file path=xl/sharedStrings.xml><?xml version="1.0" encoding="utf-8"?>
<sst xmlns="http://schemas.openxmlformats.org/spreadsheetml/2006/main" count="262" uniqueCount="261">
  <si>
    <t>IČO Vaší příspěvkové organizace</t>
  </si>
  <si>
    <t>Pytle odpadní, HDPE, vel. 49 x 60cm, minimální síla 15µ, barva černá (cca 30 - 35l)</t>
  </si>
  <si>
    <t xml:space="preserve">Pytle odpadní, HDPE, vel. 49 x 60cm, minimální síla 15µ, barva bílá  (cca 30 - 35l), </t>
  </si>
  <si>
    <t>Pytle odpadní, HDPE, vel. 49 x 60cm, minimální síla 20µ , barva žlutá  (cca 30 - 35l)</t>
  </si>
  <si>
    <t>Pytle odpadní, LDPE, vel. 50 x 60cm, minimální síla 40µ, barva černá (cca 35l)</t>
  </si>
  <si>
    <t xml:space="preserve">Pytle odpadní, HDPE, vel. 50 x 60cm, minimální síla 20µ, barva černá (cca 35l) </t>
  </si>
  <si>
    <t xml:space="preserve">Pytle odpadní, HDPE, vel. 50 x 60cm, minimální síla 20µ, barva bílá  (cca 35l), </t>
  </si>
  <si>
    <t>Pytle odpadní, LDPE, vel. 50 x 60cm, minimální síla 50µ, barva černá  (cca 35l)</t>
  </si>
  <si>
    <t>Pytle odpadní, LDPE, vel. 50 x 60cm, minimální síla 50µ, barva červená  (cca 35l)</t>
  </si>
  <si>
    <t>Pytle odpadní, LDPE, vel. 50 x 60cm, minimální síla 60µ, barva černá  (cca 35l)</t>
  </si>
  <si>
    <t>Pytle odpadní, LDPE, vel. 50 x 60cm, minimální síla 60µ, barva červená  (cca 35l)</t>
  </si>
  <si>
    <t>Pytle odpadní, LDPE, vel. 50 x 60cm, minimální síla 200µ, barva černá (cca 35l)</t>
  </si>
  <si>
    <t>Pytle odpadní, LDPE, vel. 55 x 60cm, minimální síla 60µ, barva černá (cca 40l)</t>
  </si>
  <si>
    <t>Pytle odpadní, LDPE, 55 x 100cm, minimální síla 60µ, barva černá  (cca 80l)</t>
  </si>
  <si>
    <t>Pytle odpadní, LDPE, 55 x 100cm, minimální síla 60µ, barva červená  (cca 80l)</t>
  </si>
  <si>
    <t>Pytle odpadní, LDPE, 55 x 100cm, minimální síla 60µ, barva žlutá (cca 80l)</t>
  </si>
  <si>
    <t>Pytle odpadní, LDPE, vel. 55 x 100cm, minimální síla 80µ, barva černá (cca 80l)</t>
  </si>
  <si>
    <t>Pytle odpadní, LDPE, vel. 55 x 100cm, minimální síla 80µ, barva červená (cca 80l)</t>
  </si>
  <si>
    <t>Pytle odpadní, HDPE, 60 x 50cm, minimální síla 20µ, barva zelená (cca 30l)</t>
  </si>
  <si>
    <t>Pytle odpadní, HDPE, 60 x 70cm, minimální síla 20µ, barva modrá (cca 60l)</t>
  </si>
  <si>
    <t>Pytle odpadní, HDPE, 60 x 80cm, minimální síla 15µ, barva černá (cca 60l)</t>
  </si>
  <si>
    <t>Pytle odpadní, HDPE, 60 x 80cm, minimální síla 15µ, barva transparentní (cca 60l)</t>
  </si>
  <si>
    <t>Pytle odpadní, LDPE, 60 x 80cm, minimální síla 35µ, barva černá (cca 60l)</t>
  </si>
  <si>
    <t>Pytle odpadní, HDPE, vel. 63 x 85cm, minimální 15µ, barva bílá (cca 72l)</t>
  </si>
  <si>
    <t>Pytle odpadní, HDPE, vel. 63 x 85cm, minimální 15µ, barva transparentní  (cca 72l)</t>
  </si>
  <si>
    <t>Pytle odpadní, HDPE, vel. 64 x 71cm, síla 20µ, barva  černá (cca 60l)</t>
  </si>
  <si>
    <t>Pytle odpadní, LDPE,vel.  65 x 78cm, síla 60µ, barva černá (cca 60l)</t>
  </si>
  <si>
    <t>Pytle odpadní, zatahovací, LDPE, vel. 70 x 100cm, síla 50µ, barva modrá (cca 110l)</t>
  </si>
  <si>
    <t>Pytle odpadní, LDPE, vel. 70 x 110cm, síla 40µ, barva černá  (cca 110l)</t>
  </si>
  <si>
    <t>Pytle odpadní, LDPE, vel. 70 x 110cm, síla 40µ, barva transparentní, (cca 110l)</t>
  </si>
  <si>
    <t>Pytle odpadní, LDPE, vel. 70 x 110cm, síla 40µ, barva modrá  (cca 110l)</t>
  </si>
  <si>
    <t>Pytle odpadní, LDPE, vel. 70 x 110cm, síla 40µ, barva červená (cca 110l)</t>
  </si>
  <si>
    <t>Pytle odpadní, LDPE, vel. 70 x 110cm, síla 40µ, barva žlutá (cca 110l)</t>
  </si>
  <si>
    <t>Pytle odpadní, LDPE, vel. 70 x 110cm, síla 40µ, barva zelená (cca 110l)</t>
  </si>
  <si>
    <t>Pytle odpadní, LDPE, vel. 70 x 110cm, síla 60µ, barva černá (cca 110l)</t>
  </si>
  <si>
    <t>Pytle odpadní, LDPE, vel. 70 x 110cm, síla 60µ, barva transparentní (cca 110l)</t>
  </si>
  <si>
    <t>Pytle odpadní, LDPE, vel. 70 x 110cm, síla 60µ, barva modrá (cca 110l)</t>
  </si>
  <si>
    <t>Pytle odpadní, LDPE, vel. 70 x 110cm, síla 60µ, barva červená (cca 110l)</t>
  </si>
  <si>
    <t>Pytle odpadní, LDPE, vel. 70 x 110cm, síla 60µ, barva žlutá (cca 110l)</t>
  </si>
  <si>
    <t>Pytle odpadní, LDPE, vel. 70 x 110cm, síla 60µ, barva zelená (cca 110l)</t>
  </si>
  <si>
    <t>Pytle odpadní, LDPE, vel. 70 x 110cm, minimální síla 80µ, barva černá (cca 110l)</t>
  </si>
  <si>
    <t>Pytle odpadní, LDPE, vel. 70 x 110cm, minimální síla 80µ, barva transparentní (cca 110l)</t>
  </si>
  <si>
    <t>Pytle odpadní, LDPE, vel. 70 x 110cm, minimální síla 80µ, barva modrá (cca 110l)</t>
  </si>
  <si>
    <t>Pytle odpadní, LDPE, vel. 70 x 110cm, minimální síla 80µ, barva červená (cca 110l)</t>
  </si>
  <si>
    <t>Pytle odpadní, LDPE, vel. 70 x 110cm, minimální síla 80µ, barva žlutá (cca 110l)</t>
  </si>
  <si>
    <t>Pytle odpadní, LDPE, vel. 70 x 110cm, minimální síla 80µ, barva zelená (cca 110l)</t>
  </si>
  <si>
    <t>Pytle odpadní, LDPE, vel. 70 x 110cm, minimální síla 100µ, barva černá (cca 110l)</t>
  </si>
  <si>
    <t>Pytle odpadní, LDPE, vel. 70 x 110cm, minimální síla 100µ, barva modrá (cca 110l)</t>
  </si>
  <si>
    <t>Pytle odpadní, LDPE, vel. 70 x 110cm, minimální síla 100µ, barva červená (cca 110l)</t>
  </si>
  <si>
    <t>Pytle odpadní, LDPE, vel. 70 x 110cm, minimální síla 100µ, barva žlutá (cca 110l)</t>
  </si>
  <si>
    <t>Pytle odpadní, LDPE, vel. 70 x 110cm, minimální síla 180µ, barva černá (cca 110l)</t>
  </si>
  <si>
    <t>Pytle odpadní, LDPE, vel. 70 x 110cm, minimální síla 200µ, barva černá (cca 110l)</t>
  </si>
  <si>
    <t>Pytle odpadní, LDPE, vel. 70 x 110cm, minimální síla 200µ, barva žlutá (cca 110l)</t>
  </si>
  <si>
    <t>Pytle odpadní - BIOODPAD s potiskem, LDPE, vel. 70 x 110cm, minimální síla 100µ, barva červená (cca 110l)</t>
  </si>
  <si>
    <t>Pytle odpadní, LDPE, vel. 70 x 120cm, minimální síla 100µ, barva modrá (cca 120l)</t>
  </si>
  <si>
    <t>Pytle odpadní, LDPE, vel. 70 x 120cm, minimální síla 100µ, barva černá (cca 120l)</t>
  </si>
  <si>
    <t>Pytle odpadní, LDPE, vel. 80 x 120cm, minimální síla 100µ, barva transparentní (cca 130l)</t>
  </si>
  <si>
    <t>Pytle odpadní, HDPE, vel. 85 x 63cm, minimální síla 20µ, barva bílá (cca 72l)</t>
  </si>
  <si>
    <t>Pytle odpadní, LDPE, vel. 100 x 120cm, minimální síla 80µ, barva černá (cca 240 l)</t>
  </si>
  <si>
    <t>Sáčky transparentní, HDPE, vel. 16 x 24cm, minimální síla 8µ</t>
  </si>
  <si>
    <t>Sáčky transparentní, HDPE, vel. 20 x 30cm, minimální síla 10µ</t>
  </si>
  <si>
    <t>Sáčky transparentní, HDPE, vel. 20 x 30cm, minimální síla 12µ</t>
  </si>
  <si>
    <t>Sáčky transparentní, HDPE, vel. 20 x 30cm, minimální síla 12µ - boční sklad</t>
  </si>
  <si>
    <t>Sáčky transparentní, HDPE, vel. 25 x 35cm, minimální síla 9µ</t>
  </si>
  <si>
    <t>Sáčky transparentní, HDPE, vel. 25 x 35cm, minimální síla 9µ - boční sklad</t>
  </si>
  <si>
    <t>Sáčky transparentní, HDPE, vel. 25 x 35cm (využitelná výška), minimální síla 9µ - s "ušima"</t>
  </si>
  <si>
    <t xml:space="preserve">Sáčky transparentní, HDPE, vel. 25 x 35cm, minimální síla 20µ </t>
  </si>
  <si>
    <t>Sáčky transparentní, HDPE, vel. 45 x 30cm, minimální síla 20µ</t>
  </si>
  <si>
    <t>Pytle potravinářské transparentní, LDPE, vel. 70 x 110cm, minimální síla 60µ</t>
  </si>
  <si>
    <t>Fólie potravinářské transparentní, LDPE, vel. 30 x 30000cm, minimální síla 9µ</t>
  </si>
  <si>
    <t>Fólie potravinářské transparentní, LDPE, vel. 45 x 30000cm, minimální síla 12µ</t>
  </si>
  <si>
    <t>Přířezy skládané transparentní, HDPE, vel. 50 x 70cm, minimální síla 6µ</t>
  </si>
  <si>
    <t>Mikroténová taška bílá, LDPE, vel. 30 x 54cm, minimální síla 100µ</t>
  </si>
  <si>
    <t>Zavírací páska transparentní, PP, vel. 4,8 x 6600 cm, minimální síla 43µ</t>
  </si>
  <si>
    <t>30ks</t>
  </si>
  <si>
    <t>Mateřská škola, základní škola, praktická škola a dětský domov Kyjov, příspěvková organizace</t>
  </si>
  <si>
    <t>Centrum služeb pro seniory Kyjov, příspěvková organizace</t>
  </si>
  <si>
    <t>Základní škola a praktická škola, Slavkov u Brna, příspěvková organizace</t>
  </si>
  <si>
    <t>Dětský domov Tišnov, příspěvková organizace</t>
  </si>
  <si>
    <t>JM</t>
  </si>
  <si>
    <t>Název</t>
  </si>
  <si>
    <t>JM_001</t>
  </si>
  <si>
    <t>Střední škola polytechnická Brno, Jílová, příspěvková organizace</t>
  </si>
  <si>
    <t>Jílová 164/36g, 639 00 Brno</t>
  </si>
  <si>
    <t>JM_006</t>
  </si>
  <si>
    <t>Vyšší odborná škola zdravotnická Brno, příspěvková organizace</t>
  </si>
  <si>
    <t>Kounicova 684/16, 602 00 Brno</t>
  </si>
  <si>
    <t>JM_011</t>
  </si>
  <si>
    <t>Zámeček Střelice, příspěvková organizace</t>
  </si>
  <si>
    <t>Tetčická 311/69, 664 47 Střelice</t>
  </si>
  <si>
    <t>JM_018</t>
  </si>
  <si>
    <t>Nemocnice Znojmo, příspěvková organizace</t>
  </si>
  <si>
    <t>MUDr. Jana Janského 2675/11, 669 02 Znojmo</t>
  </si>
  <si>
    <t>JM_023</t>
  </si>
  <si>
    <t>Středisko volného času Znojmo, příspěvková organizace</t>
  </si>
  <si>
    <t>Sokolská 1277/8, 669 02 Znojmo</t>
  </si>
  <si>
    <t>JM_029</t>
  </si>
  <si>
    <t>Obchodní akademie a vyšší odborná škola Brno, Kotlářská, příspěvková organizace</t>
  </si>
  <si>
    <t>Kotlářská 263/9, 611 53 Brno</t>
  </si>
  <si>
    <t>JM_032</t>
  </si>
  <si>
    <t>Správa a údržba silnic Jihomoravského kraje, příspěvková organizace kraje</t>
  </si>
  <si>
    <t>Žerotínovo náměstí 449/3, 602 00 Brno</t>
  </si>
  <si>
    <t>JM_033</t>
  </si>
  <si>
    <t>Základní škola a praktická škola Brno, Vídeňská, příspěvková organizace</t>
  </si>
  <si>
    <t>Vídeňská 244/26, 639 00 Brno</t>
  </si>
  <si>
    <t>JM_044</t>
  </si>
  <si>
    <t>Středisko volného času Miroslav, příspěvková organizace</t>
  </si>
  <si>
    <t>Kostelní 197/16, 671 72 Miroslav</t>
  </si>
  <si>
    <t>JM_046</t>
  </si>
  <si>
    <t>Domov pro seniory Skalice, příspěvková organizace</t>
  </si>
  <si>
    <t>Skalice 1, 671 71 Hostěradice</t>
  </si>
  <si>
    <t>JM_053</t>
  </si>
  <si>
    <t>Střední průmyslová škola Brno, Purkyňova, příspěvková organizace</t>
  </si>
  <si>
    <t>Purkyňova 2832/97, 612 00 Brno</t>
  </si>
  <si>
    <t>JM_058</t>
  </si>
  <si>
    <t>Zdravotnická záchranná služba Jihomoravského kraje, příspěvková organizace</t>
  </si>
  <si>
    <t>Kamenice 798/1d, 625 00 Brno</t>
  </si>
  <si>
    <t>JM_075</t>
  </si>
  <si>
    <t>Purkyňova 1685, 666 01 Tišnov</t>
  </si>
  <si>
    <t>JM_080</t>
  </si>
  <si>
    <t>Domov pro seniory Předklášteří, příspěvková organizace</t>
  </si>
  <si>
    <t>Šikulova 1438, 666 02 Předklášteří</t>
  </si>
  <si>
    <t>JM_087</t>
  </si>
  <si>
    <t>Střední škola polytechnická Vyškov, příspěvková organizace</t>
  </si>
  <si>
    <t>Sochorova 552/15, 682 01 Vyškov</t>
  </si>
  <si>
    <t>JM_090</t>
  </si>
  <si>
    <t>Nemocnice Vyškov, příspěvková organizace</t>
  </si>
  <si>
    <t>Purkyňova 235/36, 682 01 Vyškov</t>
  </si>
  <si>
    <t>JM_095</t>
  </si>
  <si>
    <t>Střední škola Brno, Charbulova, příspěvková organizace</t>
  </si>
  <si>
    <t>Charbulova 1072/106, 618 00 Brno</t>
  </si>
  <si>
    <t>JM_096</t>
  </si>
  <si>
    <t>Integrovaná střední škola automobilní Brno, příspěvková organizace</t>
  </si>
  <si>
    <t>Křižíkova 106/15, 612 00 Brno</t>
  </si>
  <si>
    <t>JM_098</t>
  </si>
  <si>
    <t>Střední škola F. D. Roosevelta Brno, příspěvková organizace</t>
  </si>
  <si>
    <t>Křižíkova 1694/11, 612 00 Brno</t>
  </si>
  <si>
    <t>Hybešova 253/15, 602 00 Brno</t>
  </si>
  <si>
    <t>JM_102</t>
  </si>
  <si>
    <t>Vzdělávací institut pro Moravu, zařízení pro další vzdělávání pedagogických pracovníků a středisko služeb školám, příspěvková organizace</t>
  </si>
  <si>
    <t>JM_109</t>
  </si>
  <si>
    <t>Střední škola grafická Brno, příspěvková organizace</t>
  </si>
  <si>
    <t>Šmahova 364/110, 627 00 Brno</t>
  </si>
  <si>
    <t>JM_115</t>
  </si>
  <si>
    <t>Mateřská škola speciální, základní škola speciální a praktická škola Elpis Brno, příspěvková organizace</t>
  </si>
  <si>
    <t>Koperníkova 803/2, 615 00 Brno</t>
  </si>
  <si>
    <t>JM_116</t>
  </si>
  <si>
    <t>Mateřská škola a základní škola při Fakultní nemocnici Brno, příspěvková organizace</t>
  </si>
  <si>
    <t>Černopolní 212/9, 613 00 Brno</t>
  </si>
  <si>
    <t>JM_124</t>
  </si>
  <si>
    <t>Mateřská škola speciální, základní škola speciální a praktická škola Ibsenka Brno, příspěvková organizace</t>
  </si>
  <si>
    <t>Ibsenova 114/1, 638 00 Brno</t>
  </si>
  <si>
    <t>JM_127</t>
  </si>
  <si>
    <t>Střední škola Slavkov – Austerlitz, příspěvková organizace</t>
  </si>
  <si>
    <t>Tyršova 479, 684 01 Slavkov u Brna</t>
  </si>
  <si>
    <t>JM_128</t>
  </si>
  <si>
    <t>Malinovského 280, 684 01 Slavkov u Brna</t>
  </si>
  <si>
    <t>JM_131</t>
  </si>
  <si>
    <t>Mateřská škola, základní škola a praktická škola Boskovice, příspěvková organizace</t>
  </si>
  <si>
    <t>Štefanikova 1142/2, 680 01 Boskovice</t>
  </si>
  <si>
    <t>JM_134</t>
  </si>
  <si>
    <t>Domov Hvězda, příspěvková organizace</t>
  </si>
  <si>
    <t>Nové Hvězdlice 200, 683 41 Bohdalice</t>
  </si>
  <si>
    <t>JM_135</t>
  </si>
  <si>
    <t>Za Humny 3304/46, 697 01 Kyjov, Boršov</t>
  </si>
  <si>
    <t>JM_141</t>
  </si>
  <si>
    <t>Strážovská 1095/1, 697 01 Kyjov</t>
  </si>
  <si>
    <t>JM_142</t>
  </si>
  <si>
    <t>Domov Horizont, příspěvková organizace</t>
  </si>
  <si>
    <t>Strážovská 1096/3, 697 01 Kyjov</t>
  </si>
  <si>
    <t>JM_145</t>
  </si>
  <si>
    <t>Střední škola polytechnická Kyjov, příspěvková organizace</t>
  </si>
  <si>
    <t>Havlíčkova 1223/17, 697 01 Kyjov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</si>
  <si>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</si>
  <si>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</si>
  <si>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</si>
  <si>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</si>
  <si>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</si>
  <si>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</si>
  <si>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JM_160</t>
  </si>
  <si>
    <t>Nemocnice Letovice, příspěvková organizace</t>
  </si>
  <si>
    <t>Pod klášterem 55/17, 679 61 Letovice</t>
  </si>
  <si>
    <t>JM_166</t>
  </si>
  <si>
    <t>Střední škola Edvarda Beneše Břeclav, příspěvková organizace</t>
  </si>
  <si>
    <t>nábř. Komenského 1126/1, 690 25 Břeclav</t>
  </si>
  <si>
    <t>JM_173</t>
  </si>
  <si>
    <t>Domov Božice, příspěvková organizace</t>
  </si>
  <si>
    <t>Božice 188, 671 64 Božice</t>
  </si>
  <si>
    <t>JM_178</t>
  </si>
  <si>
    <t>SENIOR centrum Blansko, příspěvková organizace</t>
  </si>
  <si>
    <t>Pod Sanatorkou 2363/3, 678 01 Blansko</t>
  </si>
  <si>
    <t>JM_181</t>
  </si>
  <si>
    <t>Středisko volného času Blansko, příspěvková organizace</t>
  </si>
  <si>
    <t>Údolní 1200/2, 678 01 Blansko</t>
  </si>
  <si>
    <t>JM_191</t>
  </si>
  <si>
    <t>Regionální muzeum v Mikulově, příspěvková organizace</t>
  </si>
  <si>
    <t>Zámek 1/4, 692 01 Mikulov</t>
  </si>
  <si>
    <t>JM_199</t>
  </si>
  <si>
    <t>Gymnázium Brno-Bystrc, příspěvková organizace</t>
  </si>
  <si>
    <t>Vejrostova 1143/2, 635 00 Brno</t>
  </si>
  <si>
    <t>JM_202</t>
  </si>
  <si>
    <t>Gymnázium T. G. Masaryka Hustopeče, příspěvková organizace</t>
  </si>
  <si>
    <t>Dukelské nám. 31/7, 693 31 Hustopeče</t>
  </si>
  <si>
    <t>JM_203</t>
  </si>
  <si>
    <t>Střední škola polytechnická Hustopeče, příspěvková organizace</t>
  </si>
  <si>
    <t>Masarykovo nám. 136/1, 693 01 Hustopeče</t>
  </si>
  <si>
    <t>JM_207</t>
  </si>
  <si>
    <t>S - centrum Hodonín, příspěvková organizace</t>
  </si>
  <si>
    <t>Jarošova 1717/3, 695 01 Hodonín</t>
  </si>
  <si>
    <t>JM_211</t>
  </si>
  <si>
    <t>Odborné učiliště Cvrčovice, příspěvková organizace</t>
  </si>
  <si>
    <t>Cvrčovice 131, 691 23 Pohořelice</t>
  </si>
  <si>
    <t>JM_219</t>
  </si>
  <si>
    <t>Nemocnice Ivančice, příspěvková organizace</t>
  </si>
  <si>
    <t>Široká 16, 664 91 Ivančice</t>
  </si>
  <si>
    <t>JM_229</t>
  </si>
  <si>
    <t>Domov pro seniory Zastávka, příspěvková organizace</t>
  </si>
  <si>
    <t>Sportovní 432, 664 84 Zastávka</t>
  </si>
  <si>
    <t>JM_230</t>
  </si>
  <si>
    <t>Gymnázium T. G. Masaryka Zastávka, příspěvková organizace</t>
  </si>
  <si>
    <t>U Školy 39, 664 84 Zastávka</t>
  </si>
  <si>
    <t>JM_233</t>
  </si>
  <si>
    <t>Střední škola a základní škola Tišnov, příspěvková organizace</t>
  </si>
  <si>
    <t>nám. Míru 22, 666 25 Tišnov</t>
  </si>
  <si>
    <t>JM_236</t>
  </si>
  <si>
    <t>Domov pro seniory Bažantnice, příspěvková organizace</t>
  </si>
  <si>
    <t>třída Bří Čapků 3273/1, 695 01 Hodonín</t>
  </si>
  <si>
    <t>JM_241</t>
  </si>
  <si>
    <t>Integrovaná střední škola Hodonín, příspěvková organizace</t>
  </si>
  <si>
    <t>Lipová alej 3756/21, 695 01 Hodonín</t>
  </si>
  <si>
    <t>JM_247</t>
  </si>
  <si>
    <t>Základní umělecká škola Hodonín, příspěvková organizace</t>
  </si>
  <si>
    <t>Horní Valy 3655/2, 695 01 Hodonín</t>
  </si>
  <si>
    <t>JM_250</t>
  </si>
  <si>
    <t>Střední škola průmyslová a umělecká Hodonín, příspěvková organizace</t>
  </si>
  <si>
    <t>Brandlova 2222/32, 695 01 Hodonín</t>
  </si>
  <si>
    <t>JM_252</t>
  </si>
  <si>
    <t>Domov na Jarošce, příspěvková organizace</t>
  </si>
  <si>
    <t>JM_256</t>
  </si>
  <si>
    <t>Purkyňovo gymnázium, Strážnice, Masarykova 379, příspěvková organizace</t>
  </si>
  <si>
    <t>Masarykova 379, 696 62 Strážnice</t>
  </si>
  <si>
    <t>JM_260</t>
  </si>
  <si>
    <t>Střední škola Strážnice, příspěvková organizace</t>
  </si>
  <si>
    <t>J. Skácela 890, 696 62 Strážnice</t>
  </si>
  <si>
    <t>JM_263</t>
  </si>
  <si>
    <t>Dům dětí a mládeže Veselí nad Moravou, příspěvková organizace</t>
  </si>
  <si>
    <t>Hutník 1495, 698 01 Veselí nad Moravou</t>
  </si>
  <si>
    <t>JM_274</t>
  </si>
  <si>
    <t>Domov pro seniory Černá Hora, příspěvková organizace</t>
  </si>
  <si>
    <t>Zámecká 1, 679 21 Černá Hora</t>
  </si>
  <si>
    <t>JM_283</t>
  </si>
  <si>
    <t>Domov u Františka, příspěvková organizace</t>
  </si>
  <si>
    <t>Rybářská 1079, 664 53 Újezd u Brna</t>
  </si>
  <si>
    <t>JM_286</t>
  </si>
  <si>
    <t>Domov pro seniory Hustopeče, příspěvková organizace</t>
  </si>
  <si>
    <t>Hybešova 1497/7,693 01 Hustopeče</t>
  </si>
  <si>
    <t>Pytle odpadní, LDPE, vel. 60 x 80 cm, minimální síla 40µ, barva žlutá</t>
  </si>
  <si>
    <t>Pytle odpadní, HDPE, 60 x 80 cm, minimální síla 20 µ, barva transparentní</t>
  </si>
  <si>
    <t>Pytle odpadní, LDPE, vel. 50 x 60 cm, minimální síla 40µ, barva žlutá</t>
  </si>
  <si>
    <t xml:space="preserve">Sídlo </t>
  </si>
  <si>
    <t>Sloupec1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</si>
</sst>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3F86"/>
        <bgColor rgb="FF5B3F86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442F65"/>
      </right>
      <top style="thin">
        <color rgb="FF442F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2" xfId="5" applyFont="1" applyFill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7" fillId="0" borderId="0" xfId="5" applyAlignment="1">
      <alignment horizontal="center" wrapText="1"/>
    </xf>
    <xf numFmtId="1" fontId="2" fillId="0" borderId="1" xfId="5" applyNumberFormat="1" applyFont="1" applyBorder="1" applyAlignment="1">
      <alignment horizontal="center" vertical="center"/>
    </xf>
    <xf numFmtId="164" fontId="2" fillId="0" borderId="1" xfId="5" applyNumberFormat="1" applyFont="1" applyBorder="1" applyAlignment="1">
      <alignment horizontal="center" vertical="center"/>
    </xf>
    <xf numFmtId="0" fontId="2" fillId="0" borderId="1" xfId="5" applyFont="1" applyBorder="1" applyAlignment="1">
      <alignment vertical="center" wrapText="1"/>
    </xf>
    <xf numFmtId="3" fontId="2" fillId="0" borderId="1" xfId="5" applyNumberFormat="1" applyFont="1" applyBorder="1" applyAlignment="1">
      <alignment horizontal="center" vertical="center"/>
    </xf>
    <xf numFmtId="3" fontId="2" fillId="0" borderId="6" xfId="5" applyNumberFormat="1" applyFont="1" applyBorder="1" applyAlignment="1">
      <alignment horizontal="center" vertical="center"/>
    </xf>
    <xf numFmtId="3" fontId="7" fillId="0" borderId="6" xfId="5" applyNumberFormat="1" applyBorder="1" applyAlignment="1">
      <alignment horizontal="center" vertical="center"/>
    </xf>
    <xf numFmtId="0" fontId="7" fillId="0" borderId="0" xfId="5"/>
    <xf numFmtId="3" fontId="7" fillId="0" borderId="1" xfId="5" applyNumberFormat="1" applyBorder="1" applyAlignment="1">
      <alignment horizontal="center" vertical="center"/>
    </xf>
    <xf numFmtId="1" fontId="2" fillId="0" borderId="1" xfId="5" quotePrefix="1" applyNumberFormat="1" applyFont="1" applyBorder="1" applyAlignment="1">
      <alignment horizontal="center" vertical="center"/>
    </xf>
    <xf numFmtId="0" fontId="6" fillId="0" borderId="1" xfId="5" applyFont="1" applyBorder="1" applyAlignment="1">
      <alignment vertical="center" wrapText="1"/>
    </xf>
    <xf numFmtId="3" fontId="2" fillId="3" borderId="1" xfId="5" applyNumberFormat="1" applyFont="1" applyFill="1" applyBorder="1" applyAlignment="1">
      <alignment horizontal="center" vertical="center"/>
    </xf>
    <xf numFmtId="3" fontId="7" fillId="3" borderId="1" xfId="5" applyNumberFormat="1" applyFill="1" applyBorder="1" applyAlignment="1">
      <alignment horizontal="center" vertical="center"/>
    </xf>
    <xf numFmtId="0" fontId="7" fillId="3" borderId="0" xfId="5" applyFill="1"/>
    <xf numFmtId="3" fontId="6" fillId="0" borderId="1" xfId="5" applyNumberFormat="1" applyFont="1" applyBorder="1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0" xfId="5" applyAlignment="1">
      <alignment horizontal="center" vertical="center"/>
    </xf>
    <xf numFmtId="0" fontId="7" fillId="0" borderId="0" xfId="5" applyAlignment="1">
      <alignment horizontal="center"/>
    </xf>
    <xf numFmtId="0" fontId="7" fillId="0" borderId="0" xfId="5" applyAlignment="1">
      <alignment wrapText="1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vertical="center" wrapText="1"/>
    </xf>
    <xf numFmtId="3" fontId="0" fillId="0" borderId="5" xfId="0" applyNumberFormat="1" applyFont="1" applyFill="1" applyBorder="1" applyAlignment="1" applyProtection="1">
      <alignment horizontal="center" vertical="center"/>
    </xf>
  </cellXfs>
  <cellStyles count="6">
    <cellStyle name="Hypertextový odkaz 2" xfId="3" xr:uid="{6214616C-BB0B-4BA0-A67E-FE2CA284FA8F}"/>
    <cellStyle name="Normální" xfId="0" builtinId="0"/>
    <cellStyle name="Normální 2" xfId="1" xr:uid="{017924EC-ECDB-4481-B1EE-CE6D8528B775}"/>
    <cellStyle name="normální 3" xfId="4" xr:uid="{86088CBC-CFA0-4585-9149-E99A2FD610E5}"/>
    <cellStyle name="normální 4 2" xfId="2" xr:uid="{0431E649-BD12-4702-9895-82A2FAA76759}"/>
    <cellStyle name="Normální 9" xfId="5" xr:uid="{18F2500F-BF59-43AE-886B-FCC15DF85293}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0"/>
    </dxf>
    <dxf>
      <font>
        <color theme="1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</font>
      <numFmt numFmtId="164" formatCode="m/d/yyyy\ h:mm:ss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2"/>
        <name val="Arial"/>
        <scheme val="minor"/>
      </font>
      <alignment horizont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Odpovědi formuláře 1-style" pivot="0" count="3" xr9:uid="{00000000-0011-0000-FFFF-FFFF00000000}">
      <tableStyleElement type="headerRow" dxfId="165"/>
      <tableStyleElement type="firstRowStripe" dxfId="164"/>
      <tableStyleElement type="secondRow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ejizadc.cejiza.loc\dokumenty\VE&#344;EJN&#201;%20ZAK&#193;ZKY\2024\02_DNS_Odpadni_pytle_24-30\09_VYZVY\01\00_sber_dat\pozadavky\DNS%2001%20-%20Odpadn&#237;%20pytle%20-%20sb&#283;r%20dat_241114_Ano_kusy_prefin.xlsx" TargetMode="External"/><Relationship Id="rId1" Type="http://schemas.openxmlformats.org/officeDocument/2006/relationships/externalLinkPath" Target="/VE&#344;EJN&#201;%20ZAK&#193;ZKY/2024/02_DNS_Odpadni_pytle_24-30/09_VYZVY/01/00_sber_dat/pozadavky/DNS%2001%20-%20Odpadn&#237;%20pytle%20-%20sb&#283;r%20dat_241114_Ano_kusy_pre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j"/>
      <sheetName val="PrO"/>
    </sheetNames>
    <sheetDataSet>
      <sheetData sheetId="0"/>
      <sheetData sheetId="1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53198</v>
          </cell>
          <cell r="B194" t="str">
            <v>JM_233</v>
          </cell>
        </row>
        <row r="195">
          <cell r="A195">
            <v>70838437</v>
          </cell>
          <cell r="B195" t="str">
            <v>JM_235</v>
          </cell>
        </row>
        <row r="196">
          <cell r="A196">
            <v>46937081</v>
          </cell>
          <cell r="B196" t="str">
            <v>JM_236</v>
          </cell>
        </row>
        <row r="197">
          <cell r="A197">
            <v>70284831</v>
          </cell>
          <cell r="B197" t="str">
            <v>JM_237</v>
          </cell>
        </row>
        <row r="198">
          <cell r="A198">
            <v>49939386</v>
          </cell>
          <cell r="B198" t="str">
            <v>JM_238</v>
          </cell>
        </row>
        <row r="199">
          <cell r="A199">
            <v>46937170</v>
          </cell>
          <cell r="B199" t="str">
            <v>JM_239</v>
          </cell>
        </row>
        <row r="200">
          <cell r="A200">
            <v>49939378</v>
          </cell>
          <cell r="B200" t="str">
            <v>JM_240</v>
          </cell>
        </row>
        <row r="201">
          <cell r="A201">
            <v>838225</v>
          </cell>
          <cell r="B201" t="str">
            <v>JM_241</v>
          </cell>
        </row>
        <row r="202">
          <cell r="A202">
            <v>60575573</v>
          </cell>
          <cell r="B202" t="str">
            <v>JM_242</v>
          </cell>
        </row>
        <row r="203">
          <cell r="A203">
            <v>90352</v>
          </cell>
          <cell r="B203" t="str">
            <v>JM_244</v>
          </cell>
        </row>
        <row r="204">
          <cell r="A204">
            <v>559130</v>
          </cell>
          <cell r="B204" t="str">
            <v>JM_245</v>
          </cell>
        </row>
        <row r="205">
          <cell r="A205">
            <v>70836931</v>
          </cell>
          <cell r="B205" t="str">
            <v>JM_247</v>
          </cell>
        </row>
        <row r="206">
          <cell r="A206">
            <v>373290</v>
          </cell>
          <cell r="B206" t="str">
            <v>JM_249</v>
          </cell>
        </row>
        <row r="207">
          <cell r="A207">
            <v>559539</v>
          </cell>
          <cell r="B207" t="str">
            <v>JM_250</v>
          </cell>
        </row>
        <row r="208">
          <cell r="A208">
            <v>64480020</v>
          </cell>
          <cell r="B208" t="str">
            <v>JM_251</v>
          </cell>
        </row>
        <row r="209">
          <cell r="A209">
            <v>47377470</v>
          </cell>
          <cell r="B209" t="str">
            <v>JM_252</v>
          </cell>
        </row>
        <row r="210">
          <cell r="A210">
            <v>71197788</v>
          </cell>
          <cell r="B210" t="str">
            <v>JM_253</v>
          </cell>
        </row>
        <row r="211">
          <cell r="A211">
            <v>226637</v>
          </cell>
          <cell r="B211" t="str">
            <v>JM_254</v>
          </cell>
        </row>
        <row r="212">
          <cell r="A212">
            <v>49939424</v>
          </cell>
          <cell r="B212" t="str">
            <v>JM_255</v>
          </cell>
        </row>
        <row r="213">
          <cell r="A213">
            <v>61742902</v>
          </cell>
          <cell r="B213" t="str">
            <v>JM_256</v>
          </cell>
        </row>
        <row r="214">
          <cell r="A214">
            <v>47375604</v>
          </cell>
          <cell r="B214" t="str">
            <v>JM_257</v>
          </cell>
        </row>
        <row r="215">
          <cell r="A215">
            <v>70837601</v>
          </cell>
          <cell r="B215" t="str">
            <v>JM_258</v>
          </cell>
        </row>
        <row r="216">
          <cell r="A216">
            <v>837385</v>
          </cell>
          <cell r="B216" t="str">
            <v>JM_260</v>
          </cell>
        </row>
        <row r="217">
          <cell r="A217">
            <v>64480046</v>
          </cell>
          <cell r="B217" t="str">
            <v>JM_261</v>
          </cell>
        </row>
        <row r="218">
          <cell r="A218">
            <v>70841373</v>
          </cell>
          <cell r="B218" t="str">
            <v>JM_262</v>
          </cell>
        </row>
        <row r="219">
          <cell r="A219">
            <v>49939416</v>
          </cell>
          <cell r="B219" t="str">
            <v>JM_263</v>
          </cell>
        </row>
        <row r="220">
          <cell r="A220">
            <v>70851221</v>
          </cell>
          <cell r="B220" t="str">
            <v>JM_264</v>
          </cell>
        </row>
        <row r="221">
          <cell r="A221">
            <v>226572</v>
          </cell>
          <cell r="B221" t="str">
            <v>JM_265</v>
          </cell>
        </row>
        <row r="222">
          <cell r="A222">
            <v>380407</v>
          </cell>
          <cell r="B222" t="str">
            <v>JM_266</v>
          </cell>
        </row>
        <row r="223">
          <cell r="A223">
            <v>209392</v>
          </cell>
          <cell r="B223" t="str">
            <v>JM_267</v>
          </cell>
        </row>
        <row r="224">
          <cell r="A224">
            <v>559261</v>
          </cell>
          <cell r="B224" t="str">
            <v>JM_268</v>
          </cell>
        </row>
        <row r="225">
          <cell r="A225">
            <v>70921245</v>
          </cell>
          <cell r="B225" t="str">
            <v>JM_270</v>
          </cell>
        </row>
        <row r="226">
          <cell r="A226">
            <v>47885939</v>
          </cell>
          <cell r="B226" t="str">
            <v>JM_271</v>
          </cell>
        </row>
        <row r="227">
          <cell r="A227">
            <v>62077457</v>
          </cell>
          <cell r="B227" t="str">
            <v>JM_273</v>
          </cell>
        </row>
        <row r="228">
          <cell r="A228">
            <v>380458</v>
          </cell>
          <cell r="B228" t="str">
            <v>JM_274</v>
          </cell>
        </row>
        <row r="229">
          <cell r="A229">
            <v>60575514</v>
          </cell>
          <cell r="B229" t="str">
            <v>JM_276</v>
          </cell>
        </row>
        <row r="230">
          <cell r="A230">
            <v>70888337</v>
          </cell>
          <cell r="B230" t="str">
            <v>JM_277</v>
          </cell>
        </row>
        <row r="231">
          <cell r="A231">
            <v>29319498</v>
          </cell>
          <cell r="B231" t="str">
            <v>JM_278</v>
          </cell>
        </row>
        <row r="232">
          <cell r="A232">
            <v>63481251</v>
          </cell>
          <cell r="B232" t="str">
            <v>JM_279</v>
          </cell>
        </row>
        <row r="233">
          <cell r="A233">
            <v>4212029</v>
          </cell>
          <cell r="B233" t="str">
            <v>JM_280</v>
          </cell>
        </row>
        <row r="234">
          <cell r="A234">
            <v>4551320</v>
          </cell>
          <cell r="B234" t="str">
            <v>JM_281</v>
          </cell>
        </row>
        <row r="235">
          <cell r="A235">
            <v>4536649</v>
          </cell>
          <cell r="B235" t="str">
            <v>JM_282</v>
          </cell>
        </row>
        <row r="236">
          <cell r="A236">
            <v>4150015</v>
          </cell>
          <cell r="B236" t="str">
            <v>JM_283</v>
          </cell>
        </row>
        <row r="237">
          <cell r="A237">
            <v>71175938</v>
          </cell>
          <cell r="B237" t="str">
            <v>JM_285</v>
          </cell>
        </row>
        <row r="238">
          <cell r="A238">
            <v>14120097</v>
          </cell>
          <cell r="B238" t="str">
            <v>JM_286</v>
          </cell>
        </row>
        <row r="239">
          <cell r="A239">
            <v>17456517</v>
          </cell>
          <cell r="B239" t="str">
            <v>JM_287</v>
          </cell>
        </row>
        <row r="240">
          <cell r="A240">
            <v>27714608</v>
          </cell>
          <cell r="B240" t="str">
            <v>JM_288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EE10F4-670F-4A48-96CB-53C84198C5A2}" name="Form_Responses13" displayName="Form_Responses13" ref="B1:CC62" totalsRowCount="1" headerRowDxfId="160">
  <autoFilter ref="B1:CC61" xr:uid="{00000000-000C-0000-FFFF-FFFF00000000}"/>
  <tableColumns count="80">
    <tableColumn id="1" xr3:uid="{8B365C59-2A83-4A89-ADF4-A3E5D7D7961F}" name="JM" dataDxfId="82" totalsRowDxfId="79" dataCellStyle="Normální 9"/>
    <tableColumn id="2" xr3:uid="{B426EBB9-8634-47AD-BF22-8D0109DF239D}" name="Název" dataDxfId="81" totalsRowDxfId="78" dataCellStyle="Normální 9"/>
    <tableColumn id="3" xr3:uid="{6B0318E4-820A-40B5-90DE-FEA2BFA8C37B}" name="Sídlo " dataDxfId="80" totalsRowDxfId="77" dataCellStyle="Normální 9"/>
    <tableColumn id="6" xr3:uid="{4F008F12-9332-4894-ABBB-D1055CA9793D}" name="Pytle odpadní, HDPE, vel. 49 x 60cm, minimální síla 15µ, barva černá (cca 30 - 35l)" totalsRowFunction="sum" dataDxfId="159" totalsRowDxfId="76"/>
    <tableColumn id="7" xr3:uid="{9BCCD862-1B88-4826-BF86-BDB674937039}" name="Pytle odpadní, HDPE, vel. 49 x 60cm, minimální síla 15µ, barva bílá  (cca 30 - 35l), " totalsRowFunction="sum" dataDxfId="158" totalsRowDxfId="75"/>
    <tableColumn id="8" xr3:uid="{E4C2365D-50BF-45E5-9856-87023505F0FB}" name="Pytle odpadní, HDPE, vel. 49 x 60cm, minimální síla 20µ , barva žlutá  (cca 30 - 35l)" totalsRowFunction="sum" dataDxfId="157" totalsRowDxfId="74"/>
    <tableColumn id="9" xr3:uid="{A4BCDF02-3770-461F-B772-FB60E2BA6E97}" name="Pytle odpadní, LDPE, vel. 50 x 60cm, minimální síla 40µ, barva černá (cca 35l)" totalsRowFunction="sum" dataDxfId="156" totalsRowDxfId="73"/>
    <tableColumn id="10" xr3:uid="{AE991FD2-B4AB-4C82-8755-BA4BF8778A17}" name="Pytle odpadní, HDPE, vel. 50 x 60cm, minimální síla 20µ, barva černá (cca 35l) " totalsRowFunction="sum" dataDxfId="155" totalsRowDxfId="72"/>
    <tableColumn id="11" xr3:uid="{D98DFB2B-07EB-4817-9236-C526B58B843A}" name="Pytle odpadní, HDPE, vel. 50 x 60cm, minimální síla 20µ, barva bílá  (cca 35l), " totalsRowFunction="sum" dataDxfId="154" totalsRowDxfId="71"/>
    <tableColumn id="12" xr3:uid="{7015301D-086A-4979-8BDB-0653E394B6D6}" name="Pytle odpadní, LDPE, vel. 50 x 60cm, minimální síla 50µ, barva černá  (cca 35l)" totalsRowFunction="sum" dataDxfId="153" totalsRowDxfId="70"/>
    <tableColumn id="13" xr3:uid="{ED031F5C-F872-4542-B632-44F295142BBD}" name="Pytle odpadní, LDPE, vel. 50 x 60cm, minimální síla 50µ, barva červená  (cca 35l)" totalsRowFunction="sum" dataDxfId="152" totalsRowDxfId="69"/>
    <tableColumn id="14" xr3:uid="{47521787-B335-419E-9BCF-30E21E27A394}" name="Pytle odpadní, LDPE, vel. 50 x 60cm, minimální síla 60µ, barva černá  (cca 35l)" totalsRowFunction="sum" dataDxfId="151" totalsRowDxfId="68"/>
    <tableColumn id="15" xr3:uid="{5906682B-861E-45D7-9DE0-FC6919209C58}" name="Pytle odpadní, LDPE, vel. 50 x 60cm, minimální síla 60µ, barva červená  (cca 35l)" totalsRowFunction="sum" dataDxfId="150" totalsRowDxfId="67"/>
    <tableColumn id="16" xr3:uid="{6E9D7254-FC98-4A35-A155-7BACF8C1DEFC}" name="Pytle odpadní, LDPE, vel. 50 x 60cm, minimální síla 200µ, barva černá (cca 35l)" totalsRowFunction="sum" dataDxfId="149" totalsRowDxfId="66"/>
    <tableColumn id="17" xr3:uid="{414C2A7E-9930-4705-BEE0-2B36812E626E}" name="Pytle odpadní, LDPE, vel. 55 x 60cm, minimální síla 60µ, barva černá (cca 40l)" totalsRowFunction="sum" dataDxfId="148" totalsRowDxfId="65"/>
    <tableColumn id="18" xr3:uid="{1E1600C7-9130-4D26-9D9D-7D701969E41B}" name="Pytle odpadní, LDPE, 55 x 100cm, minimální síla 60µ, barva černá  (cca 80l)" totalsRowFunction="sum" dataDxfId="147" totalsRowDxfId="64"/>
    <tableColumn id="19" xr3:uid="{FABED315-6A59-4392-BDB6-F6CC5E80186A}" name="Pytle odpadní, LDPE, 55 x 100cm, minimální síla 60µ, barva červená  (cca 80l)" totalsRowFunction="sum" dataDxfId="146" totalsRowDxfId="63"/>
    <tableColumn id="20" xr3:uid="{387BA6A5-B470-444C-B642-0F1A6AC9839C}" name="Pytle odpadní, LDPE, 55 x 100cm, minimální síla 60µ, barva žlutá (cca 80l)" totalsRowFunction="sum" dataDxfId="145" totalsRowDxfId="62"/>
    <tableColumn id="21" xr3:uid="{9353C169-C0DB-49D5-BF35-1ACC4C4E82DC}" name="Pytle odpadní, LDPE, vel. 55 x 100cm, minimální síla 80µ, barva černá (cca 80l)" totalsRowFunction="sum" dataDxfId="144" totalsRowDxfId="61"/>
    <tableColumn id="22" xr3:uid="{E68CF391-8B88-442A-AB22-9C4392E8741D}" name="Pytle odpadní, LDPE, vel. 55 x 100cm, minimální síla 80µ, barva červená (cca 80l)" totalsRowFunction="sum" dataDxfId="143" totalsRowDxfId="60"/>
    <tableColumn id="23" xr3:uid="{523B6680-ADD5-4A7B-822E-88810DF0C57F}" name="Pytle odpadní, HDPE, 60 x 50cm, minimální síla 20µ, barva zelená (cca 30l)" totalsRowFunction="sum" dataDxfId="142" totalsRowDxfId="59"/>
    <tableColumn id="24" xr3:uid="{0BC085B3-2362-4667-8BD9-29C9D6BA1079}" name="Pytle odpadní, HDPE, 60 x 70cm, minimální síla 20µ, barva modrá (cca 60l)" totalsRowFunction="sum" dataDxfId="141" totalsRowDxfId="58"/>
    <tableColumn id="25" xr3:uid="{767AF275-1249-482E-81BF-4FBCCFB95F35}" name="Pytle odpadní, HDPE, 60 x 80cm, minimální síla 15µ, barva černá (cca 60l)" totalsRowFunction="sum" dataDxfId="140" totalsRowDxfId="57"/>
    <tableColumn id="26" xr3:uid="{80201C4B-8DA4-40D9-9046-8E6802025806}" name="Pytle odpadní, HDPE, 60 x 80cm, minimální síla 15µ, barva transparentní (cca 60l)" totalsRowFunction="sum" dataDxfId="139" totalsRowDxfId="56"/>
    <tableColumn id="27" xr3:uid="{7485D5F5-EBFD-4F9B-977F-9494886A5839}" name="Pytle odpadní, LDPE, 60 x 80cm, minimální síla 35µ, barva černá (cca 60l)" totalsRowFunction="sum" dataDxfId="138" totalsRowDxfId="55"/>
    <tableColumn id="28" xr3:uid="{AF867124-7A8E-4F9F-9612-BBC647361604}" name="Pytle odpadní, HDPE, vel. 63 x 85cm, minimální 15µ, barva bílá (cca 72l)" totalsRowFunction="sum" dataDxfId="137" totalsRowDxfId="54"/>
    <tableColumn id="29" xr3:uid="{37EBFDFD-D6CF-4A1C-A1B4-6E52A75C86EF}" name="Pytle odpadní, HDPE, vel. 63 x 85cm, minimální 15µ, barva transparentní  (cca 72l)" totalsRowFunction="sum" dataDxfId="136" totalsRowDxfId="53"/>
    <tableColumn id="30" xr3:uid="{4D9A9AD0-C991-47D6-9FC7-20141E1BAFE2}" name="Pytle odpadní, HDPE, vel. 64 x 71cm, síla 20µ, barva  černá (cca 60l)" totalsRowFunction="sum" dataDxfId="135" totalsRowDxfId="52"/>
    <tableColumn id="31" xr3:uid="{B78B8282-32D7-4F5B-A719-14B4996315B8}" name="Pytle odpadní, LDPE,vel.  65 x 78cm, síla 60µ, barva černá (cca 60l)" totalsRowFunction="sum" dataDxfId="134" totalsRowDxfId="51"/>
    <tableColumn id="32" xr3:uid="{B9B82836-4E88-4DFE-82E8-D1AB87378B9C}" name="Pytle odpadní, zatahovací, LDPE, vel. 70 x 100cm, síla 50µ, barva modrá (cca 110l)" totalsRowFunction="sum" dataDxfId="133" totalsRowDxfId="50"/>
    <tableColumn id="33" xr3:uid="{8BF6E4D7-9CBB-43F2-A740-913FEAD769B1}" name="Pytle odpadní, LDPE, vel. 70 x 110cm, síla 40µ, barva černá  (cca 110l)" totalsRowFunction="sum" dataDxfId="132" totalsRowDxfId="49"/>
    <tableColumn id="34" xr3:uid="{B093E995-5955-472A-A3C7-D5059AC329A4}" name="Pytle odpadní, LDPE, vel. 70 x 110cm, síla 40µ, barva transparentní, (cca 110l)" totalsRowFunction="sum" dataDxfId="131" totalsRowDxfId="48"/>
    <tableColumn id="35" xr3:uid="{B54CCCFF-FBF8-4812-9FC8-DE2BC75E667E}" name="Pytle odpadní, LDPE, vel. 70 x 110cm, síla 40µ, barva modrá  (cca 110l)" totalsRowFunction="sum" dataDxfId="130" totalsRowDxfId="47"/>
    <tableColumn id="36" xr3:uid="{CE8D013E-85C0-4885-84AD-5700106D9D43}" name="Pytle odpadní, LDPE, vel. 70 x 110cm, síla 40µ, barva červená (cca 110l)" totalsRowFunction="sum" dataDxfId="129" totalsRowDxfId="46"/>
    <tableColumn id="37" xr3:uid="{EFEFCD2A-3BFF-4509-B9BC-1412E623553E}" name="Pytle odpadní, LDPE, vel. 70 x 110cm, síla 40µ, barva žlutá (cca 110l)" totalsRowFunction="sum" dataDxfId="128" totalsRowDxfId="45"/>
    <tableColumn id="38" xr3:uid="{8695CCDB-6B05-4A38-A8DA-9BE74DABAC36}" name="Pytle odpadní, LDPE, vel. 70 x 110cm, síla 40µ, barva zelená (cca 110l)" totalsRowFunction="sum" dataDxfId="127" totalsRowDxfId="44"/>
    <tableColumn id="39" xr3:uid="{834C6AA3-151A-470B-BC59-1DCBF1201E1D}" name="Pytle odpadní, LDPE, vel. 70 x 110cm, síla 60µ, barva černá (cca 110l)" totalsRowFunction="sum" dataDxfId="126" totalsRowDxfId="43"/>
    <tableColumn id="40" xr3:uid="{CD5484BE-A0AD-49A9-94D7-490A2A8232E9}" name="Pytle odpadní, LDPE, vel. 70 x 110cm, síla 60µ, barva transparentní (cca 110l)" totalsRowFunction="sum" dataDxfId="125" totalsRowDxfId="42"/>
    <tableColumn id="41" xr3:uid="{C7BFF639-3D1D-469F-9C01-110733AB8668}" name="Pytle odpadní, LDPE, vel. 70 x 110cm, síla 60µ, barva modrá (cca 110l)" totalsRowFunction="sum" dataDxfId="124" totalsRowDxfId="41"/>
    <tableColumn id="42" xr3:uid="{9FB7F6EC-3D65-45E5-A42B-BEFA0A9BB175}" name="Pytle odpadní, LDPE, vel. 70 x 110cm, síla 60µ, barva červená (cca 110l)" totalsRowFunction="sum" dataDxfId="123" totalsRowDxfId="40"/>
    <tableColumn id="43" xr3:uid="{35699D85-0365-4AB4-A5F4-7CD7B7D2778A}" name="Pytle odpadní, LDPE, vel. 70 x 110cm, síla 60µ, barva žlutá (cca 110l)" totalsRowFunction="sum" dataDxfId="122" totalsRowDxfId="39"/>
    <tableColumn id="44" xr3:uid="{28B82E10-B6BE-4E34-B3FD-7086CDA6AFEA}" name="Pytle odpadní, LDPE, vel. 70 x 110cm, síla 60µ, barva zelená (cca 110l)" totalsRowFunction="sum" dataDxfId="121" totalsRowDxfId="38"/>
    <tableColumn id="45" xr3:uid="{71359B36-65E1-4838-8456-506DD8D2FA5A}" name="Pytle odpadní, LDPE, vel. 70 x 110cm, minimální síla 80µ, barva černá (cca 110l)" totalsRowFunction="sum" dataDxfId="120" totalsRowDxfId="37"/>
    <tableColumn id="46" xr3:uid="{D9ACDFAF-FE45-4E3E-99B1-EB875D4C7D7A}" name="Pytle odpadní, LDPE, vel. 70 x 110cm, minimální síla 80µ, barva transparentní (cca 110l)" totalsRowFunction="sum" dataDxfId="119" totalsRowDxfId="36"/>
    <tableColumn id="47" xr3:uid="{7F5DBA02-8753-4795-9A24-ED746A085758}" name="Pytle odpadní, LDPE, vel. 70 x 110cm, minimální síla 80µ, barva modrá (cca 110l)" totalsRowFunction="sum" dataDxfId="118" totalsRowDxfId="35"/>
    <tableColumn id="48" xr3:uid="{DCEAA14C-9847-4081-884F-3EB18BA4A90E}" name="Pytle odpadní, LDPE, vel. 70 x 110cm, minimální síla 80µ, barva červená (cca 110l)" totalsRowFunction="sum" dataDxfId="117" totalsRowDxfId="34"/>
    <tableColumn id="49" xr3:uid="{42099E66-38BC-442A-84EF-C28071307574}" name="Pytle odpadní, LDPE, vel. 70 x 110cm, minimální síla 80µ, barva žlutá (cca 110l)" totalsRowFunction="sum" dataDxfId="116" totalsRowDxfId="33"/>
    <tableColumn id="50" xr3:uid="{9DE0A5FA-65A9-4820-99C6-00DBFAE335DA}" name="Pytle odpadní, LDPE, vel. 70 x 110cm, minimální síla 80µ, barva zelená (cca 110l)" totalsRowFunction="sum" dataDxfId="115" totalsRowDxfId="32"/>
    <tableColumn id="51" xr3:uid="{9BA30678-D8A4-4245-A872-EB52F6125B41}" name="Pytle odpadní, LDPE, vel. 70 x 110cm, minimální síla 100µ, barva černá (cca 110l)" totalsRowFunction="sum" dataDxfId="114" totalsRowDxfId="31"/>
    <tableColumn id="52" xr3:uid="{85A6463D-C081-4D15-ADD7-B20BAA98D0A2}" name="Pytle odpadní, LDPE, vel. 70 x 110cm, minimální síla 100µ, barva modrá (cca 110l)" totalsRowFunction="sum" dataDxfId="113" totalsRowDxfId="30"/>
    <tableColumn id="53" xr3:uid="{7B8EE684-8C62-42D3-8D12-6D43E15FFFC4}" name="Pytle odpadní, LDPE, vel. 70 x 110cm, minimální síla 100µ, barva červená (cca 110l)" totalsRowFunction="sum" dataDxfId="112" totalsRowDxfId="29"/>
    <tableColumn id="54" xr3:uid="{D2413CE7-2DEB-47F9-822B-39F4E75FA331}" name="Pytle odpadní, LDPE, vel. 70 x 110cm, minimální síla 100µ, barva žlutá (cca 110l)" totalsRowFunction="sum" dataDxfId="111" totalsRowDxfId="28"/>
    <tableColumn id="55" xr3:uid="{B58BEB56-7D4F-405B-8558-9A3718A66629}" name="Pytle odpadní, LDPE, vel. 70 x 110cm, minimální síla 180µ, barva černá (cca 110l)" totalsRowFunction="sum" dataDxfId="110" totalsRowDxfId="27"/>
    <tableColumn id="56" xr3:uid="{4FE5EBA2-2A63-4AAF-A6E5-4E4C33E11336}" name="Pytle odpadní, LDPE, vel. 70 x 110cm, minimální síla 200µ, barva černá (cca 110l)" totalsRowFunction="sum" dataDxfId="109" totalsRowDxfId="26"/>
    <tableColumn id="57" xr3:uid="{BD88F785-1864-4619-A9BA-762A7A47C595}" name="Pytle odpadní, LDPE, vel. 70 x 110cm, minimální síla 200µ, barva žlutá (cca 110l)" totalsRowFunction="sum" dataDxfId="108" totalsRowDxfId="25"/>
    <tableColumn id="58" xr3:uid="{37FB76EC-DCCB-4D61-AC98-1EDFBD7C4C00}" name="Pytle odpadní - BIOODPAD s potiskem, LDPE, vel. 70 x 110cm, minimální síla 100µ, barva červená (cca 110l)" totalsRowFunction="sum" dataDxfId="107" totalsRowDxfId="24"/>
    <tableColumn id="59" xr3:uid="{2641C7F6-27FD-4920-B6B4-7292646C3D92}" name="Pytle odpadní, LDPE, vel. 70 x 120cm, minimální síla 100µ, barva modrá (cca 120l)" totalsRowFunction="sum" dataDxfId="106" totalsRowDxfId="23"/>
    <tableColumn id="60" xr3:uid="{0D9E511B-79BA-4FA3-8F41-0E94F00B71FE}" name="Pytle odpadní, LDPE, vel. 70 x 120cm, minimální síla 100µ, barva černá (cca 120l)" totalsRowFunction="sum" dataDxfId="105" totalsRowDxfId="22"/>
    <tableColumn id="61" xr3:uid="{88DC72D4-AC9A-41BF-A4BF-75C8330404AC}" name="Pytle odpadní, LDPE, vel. 80 x 120cm, minimální síla 100µ, barva transparentní (cca 130l)" totalsRowFunction="sum" dataDxfId="104" totalsRowDxfId="21"/>
    <tableColumn id="62" xr3:uid="{A6B582D5-D17E-45A3-83F7-0FC535990946}" name="Pytle odpadní, HDPE, vel. 85 x 63cm, minimální síla 20µ, barva bílá (cca 72l)" totalsRowFunction="sum" dataDxfId="103" totalsRowDxfId="20"/>
    <tableColumn id="63" xr3:uid="{88A5165A-996C-44A9-86D1-C71D38B2FE51}" name="Pytle odpadní, LDPE, vel. 100 x 120cm, minimální síla 80µ, barva černá (cca 240 l)" totalsRowFunction="sum" dataDxfId="102" totalsRowDxfId="19"/>
    <tableColumn id="64" xr3:uid="{1D1F0ABB-6D28-431D-A009-3ED2648BDBD9}" name="Sáčky transparentní, HDPE, vel. 16 x 24cm, minimální síla 8µ" totalsRowFunction="sum" dataDxfId="101" totalsRowDxfId="18"/>
    <tableColumn id="65" xr3:uid="{CD408527-EE45-43C0-AFFA-E49A87CFCC52}" name="Sáčky transparentní, HDPE, vel. 20 x 30cm, minimální síla 10µ" totalsRowFunction="sum" dataDxfId="100" totalsRowDxfId="17"/>
    <tableColumn id="66" xr3:uid="{D1BB662B-A9DD-4F5D-AF6C-7A759436C32A}" name="Sáčky transparentní, HDPE, vel. 20 x 30cm, minimální síla 12µ" totalsRowFunction="sum" dataDxfId="99" totalsRowDxfId="16"/>
    <tableColumn id="67" xr3:uid="{CB86A75D-F740-4976-A6F0-D4A3FE7248B4}" name="Sáčky transparentní, HDPE, vel. 20 x 30cm, minimální síla 12µ - boční sklad" totalsRowFunction="sum" dataDxfId="98" totalsRowDxfId="15"/>
    <tableColumn id="68" xr3:uid="{0DF5E415-4AF9-43FF-B6CB-FB1EEFEC1125}" name="Sáčky transparentní, HDPE, vel. 25 x 35cm, minimální síla 9µ" totalsRowFunction="sum" dataDxfId="97" totalsRowDxfId="14"/>
    <tableColumn id="69" xr3:uid="{D6B2532A-A6A6-46D6-9922-1374553E9BE6}" name="Sáčky transparentní, HDPE, vel. 25 x 35cm, minimální síla 9µ - boční sklad" totalsRowFunction="sum" dataDxfId="96" totalsRowDxfId="13"/>
    <tableColumn id="70" xr3:uid="{97140492-FC17-43A0-985C-B9DDA606F79F}" name="Sáčky transparentní, HDPE, vel. 25 x 35cm (využitelná výška), minimální síla 9µ - s &quot;ušima&quot;" totalsRowFunction="sum" dataDxfId="95" totalsRowDxfId="12"/>
    <tableColumn id="71" xr3:uid="{EC2B4740-D426-44E6-9941-FB6E7BD7E48B}" name="Sáčky transparentní, HDPE, vel. 25 x 35cm, minimální síla 20µ " totalsRowFunction="sum" dataDxfId="94" totalsRowDxfId="11"/>
    <tableColumn id="72" xr3:uid="{F455A77E-6838-4D75-A14D-F6ECF40DD24D}" name="Sáčky transparentní, HDPE, vel. 45 x 30cm, minimální síla 20µ" totalsRowFunction="sum" dataDxfId="93" totalsRowDxfId="10"/>
    <tableColumn id="73" xr3:uid="{A4D97B72-B03E-4AE5-BB28-5595FF841F29}" name="Pytle potravinářské transparentní, LDPE, vel. 70 x 110cm, minimální síla 60µ" totalsRowFunction="sum" dataDxfId="92" totalsRowDxfId="9"/>
    <tableColumn id="74" xr3:uid="{2918F57E-3CC7-4C1F-88F3-9C80D62AB951}" name="Fólie potravinářské transparentní, LDPE, vel. 30 x 30000cm, minimální síla 9µ" totalsRowFunction="sum" dataDxfId="91" totalsRowDxfId="8"/>
    <tableColumn id="75" xr3:uid="{016E1BFB-F3A6-43FA-8A96-AC6B80497D20}" name="Fólie potravinářské transparentní, LDPE, vel. 45 x 30000cm, minimální síla 12µ" totalsRowFunction="sum" dataDxfId="90" totalsRowDxfId="7"/>
    <tableColumn id="76" xr3:uid="{91EDA8AE-89B0-410A-8739-6FC488E2561D}" name="Přířezy skládané transparentní, HDPE, vel. 50 x 70cm, minimální síla 6µ" totalsRowFunction="sum" dataDxfId="89" totalsRowDxfId="6"/>
    <tableColumn id="77" xr3:uid="{F55BA2B0-CCEA-40DE-9AB4-A5013F707BE9}" name="Mikroténová taška bílá, LDPE, vel. 30 x 54cm, minimální síla 100µ" totalsRowFunction="sum" dataDxfId="88" totalsRowDxfId="5"/>
    <tableColumn id="78" xr3:uid="{E774CFBF-E1DC-4DA9-8741-E81DF06A4D67}" name="Zavírací páska transparentní, PP, vel. 4,8 x 6600 cm, minimální síla 43µ" totalsRowFunction="sum" dataDxfId="87" totalsRowDxfId="4"/>
    <tableColumn id="82" xr3:uid="{CA8AA9AC-5C4D-41A8-BB75-3300605D1A3D}" name="Pytle odpadní, HDPE, 60 x 80 cm, minimální síla 20 µ, barva transparentní" totalsRowFunction="sum" dataDxfId="86" totalsRowDxfId="3"/>
    <tableColumn id="81" xr3:uid="{AABEF343-C8E2-4028-8407-6192BE218062}" name="Pytle odpadní, LDPE, vel. 60 x 80 cm, minimální síla 40µ, barva žlutá" totalsRowFunction="sum" dataDxfId="85" totalsRowDxfId="2"/>
    <tableColumn id="80" xr3:uid="{62519AA6-9814-4147-8FF3-851EC6C77D57}" name="Pytle odpadní, LDPE, vel. 50 x 60 cm, minimální síla 40µ, barva žlutá" totalsRowFunction="sum" dataDxfId="84" totalsRowDxfId="1"/>
    <tableColumn id="79" xr3:uid="{EF0600FB-E2AA-4350-A065-E1775D5EEC9C}" name="Sloupec1" dataDxfId="83" totalsRowDxfId="0">
      <calculatedColumnFormula>VLOOKUP(#REF!,[1]PrO!A:B,2,0)</calculatedColumnFormula>
    </tableColumn>
  </tableColumns>
  <tableStyleInfo name="Odpovědi formuláře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0AC4-4CFB-4600-AA03-DC331FEC6CDC}">
  <sheetPr>
    <outlinePr summaryBelow="0" summaryRight="0"/>
  </sheetPr>
  <dimension ref="A1:CC62"/>
  <sheetViews>
    <sheetView tabSelected="1" zoomScale="85" zoomScaleNormal="85" workbookViewId="0">
      <pane ySplit="1" topLeftCell="A2" activePane="bottomLeft" state="frozen"/>
      <selection pane="bottomLeft" activeCell="C33" sqref="C33"/>
    </sheetView>
  </sheetViews>
  <sheetFormatPr defaultColWidth="12.5703125" defaultRowHeight="15.75" customHeight="1" x14ac:dyDescent="0.2"/>
  <cols>
    <col min="1" max="1" width="20.140625" style="22" customWidth="1"/>
    <col min="2" max="2" width="10.5703125" style="23" customWidth="1"/>
    <col min="3" max="3" width="44.140625" style="24" customWidth="1"/>
    <col min="4" max="4" width="37.5703125" style="24" customWidth="1"/>
    <col min="5" max="81" width="17.7109375" style="22" customWidth="1"/>
    <col min="82" max="86" width="18.85546875" style="13" customWidth="1"/>
    <col min="87" max="16384" width="12.5703125" style="13"/>
  </cols>
  <sheetData>
    <row r="1" spans="1:81" s="6" customFormat="1" ht="100.5" customHeight="1" x14ac:dyDescent="0.2">
      <c r="A1" s="1" t="s">
        <v>0</v>
      </c>
      <c r="B1" s="2" t="s">
        <v>79</v>
      </c>
      <c r="C1" s="3" t="s">
        <v>80</v>
      </c>
      <c r="D1" s="3" t="s">
        <v>259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3" t="s">
        <v>70</v>
      </c>
      <c r="BW1" s="3" t="s">
        <v>71</v>
      </c>
      <c r="BX1" s="3" t="s">
        <v>72</v>
      </c>
      <c r="BY1" s="4" t="s">
        <v>73</v>
      </c>
      <c r="BZ1" s="5" t="s">
        <v>257</v>
      </c>
      <c r="CA1" s="5" t="s">
        <v>256</v>
      </c>
      <c r="CB1" s="5" t="s">
        <v>258</v>
      </c>
      <c r="CC1" s="5" t="s">
        <v>260</v>
      </c>
    </row>
    <row r="2" spans="1:81" ht="27" customHeight="1" x14ac:dyDescent="0.2">
      <c r="A2" s="7">
        <v>60680369</v>
      </c>
      <c r="B2" s="8" t="s">
        <v>200</v>
      </c>
      <c r="C2" s="9" t="s">
        <v>201</v>
      </c>
      <c r="D2" s="9" t="s">
        <v>202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 t="s">
        <v>74</v>
      </c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1"/>
      <c r="CA2" s="11"/>
      <c r="CB2" s="11"/>
      <c r="CC2" s="12" t="e">
        <f>VLOOKUP(#REF!,[1]PrO!A:B,2,0)</f>
        <v>#REF!</v>
      </c>
    </row>
    <row r="3" spans="1:81" ht="27" customHeight="1" x14ac:dyDescent="0.2">
      <c r="A3" s="7">
        <v>64327809</v>
      </c>
      <c r="B3" s="8" t="s">
        <v>146</v>
      </c>
      <c r="C3" s="9" t="s">
        <v>147</v>
      </c>
      <c r="D3" s="9" t="s">
        <v>148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>
        <v>150</v>
      </c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4" t="e">
        <f>VLOOKUP(#REF!,[1]PrO!A:B,2,0)</f>
        <v>#REF!</v>
      </c>
    </row>
    <row r="4" spans="1:81" ht="27" customHeight="1" x14ac:dyDescent="0.2">
      <c r="A4" s="7">
        <v>46937145</v>
      </c>
      <c r="B4" s="8" t="s">
        <v>167</v>
      </c>
      <c r="C4" s="9" t="s">
        <v>168</v>
      </c>
      <c r="D4" s="9" t="s">
        <v>169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>
        <v>1000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>
        <v>10000</v>
      </c>
      <c r="AM4" s="10">
        <v>24000</v>
      </c>
      <c r="AN4" s="10"/>
      <c r="AO4" s="10">
        <v>12000</v>
      </c>
      <c r="AP4" s="10"/>
      <c r="AQ4" s="10">
        <v>10000</v>
      </c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>
        <v>100</v>
      </c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4" t="e">
        <f>VLOOKUP(#REF!,[1]PrO!A:B,2,0)</f>
        <v>#REF!</v>
      </c>
    </row>
    <row r="5" spans="1:81" ht="27" customHeight="1" x14ac:dyDescent="0.2">
      <c r="A5" s="15">
        <v>219321</v>
      </c>
      <c r="B5" s="8" t="s">
        <v>131</v>
      </c>
      <c r="C5" s="9" t="s">
        <v>132</v>
      </c>
      <c r="D5" s="9" t="s">
        <v>133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>
        <v>2500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>
        <v>6000</v>
      </c>
      <c r="BJ5" s="10">
        <v>500</v>
      </c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4" t="e">
        <f>VLOOKUP(#REF!,[1]PrO!A:B,2,0)</f>
        <v>#REF!</v>
      </c>
    </row>
    <row r="6" spans="1:81" ht="27" customHeight="1" x14ac:dyDescent="0.2">
      <c r="A6" s="7">
        <v>65761774</v>
      </c>
      <c r="B6" s="8" t="s">
        <v>119</v>
      </c>
      <c r="C6" s="9" t="s">
        <v>120</v>
      </c>
      <c r="D6" s="9" t="s">
        <v>121</v>
      </c>
      <c r="E6" s="10">
        <v>4800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>
        <v>4800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>
        <v>7500</v>
      </c>
      <c r="AY6" s="10">
        <v>7500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>
        <v>80</v>
      </c>
      <c r="BV6" s="10">
        <v>80</v>
      </c>
      <c r="BW6" s="10"/>
      <c r="BX6" s="10"/>
      <c r="BY6" s="10"/>
      <c r="BZ6" s="10"/>
      <c r="CA6" s="10"/>
      <c r="CB6" s="10"/>
      <c r="CC6" s="14" t="e">
        <f>VLOOKUP(#REF!,[1]PrO!A:B,2,0)</f>
        <v>#REF!</v>
      </c>
    </row>
    <row r="7" spans="1:81" ht="27" customHeight="1" x14ac:dyDescent="0.2">
      <c r="A7" s="7">
        <v>70285306</v>
      </c>
      <c r="B7" s="8" t="s">
        <v>105</v>
      </c>
      <c r="C7" s="16" t="s">
        <v>106</v>
      </c>
      <c r="D7" s="9" t="s">
        <v>107</v>
      </c>
      <c r="E7" s="10"/>
      <c r="F7" s="10"/>
      <c r="G7" s="10">
        <v>450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>
        <v>300</v>
      </c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4" t="e">
        <f>VLOOKUP(#REF!,[1]PrO!A:B,2,0)</f>
        <v>#REF!</v>
      </c>
    </row>
    <row r="8" spans="1:81" ht="27" customHeight="1" x14ac:dyDescent="0.2">
      <c r="A8" s="7">
        <v>47377470</v>
      </c>
      <c r="B8" s="8" t="s">
        <v>236</v>
      </c>
      <c r="C8" s="9" t="s">
        <v>237</v>
      </c>
      <c r="D8" s="9" t="s">
        <v>208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>
        <v>1000</v>
      </c>
      <c r="AS8" s="10"/>
      <c r="AT8" s="10"/>
      <c r="AU8" s="10">
        <v>300</v>
      </c>
      <c r="AV8" s="10">
        <v>400</v>
      </c>
      <c r="AW8" s="10">
        <v>1000</v>
      </c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4" t="e">
        <f>VLOOKUP(#REF!,[1]PrO!A:B,2,0)</f>
        <v>#REF!</v>
      </c>
    </row>
    <row r="9" spans="1:81" ht="27" customHeight="1" x14ac:dyDescent="0.2">
      <c r="A9" s="7">
        <v>70284849</v>
      </c>
      <c r="B9" s="8" t="s">
        <v>163</v>
      </c>
      <c r="C9" s="9" t="s">
        <v>75</v>
      </c>
      <c r="D9" s="9" t="s">
        <v>164</v>
      </c>
      <c r="E9" s="10"/>
      <c r="F9" s="10"/>
      <c r="G9" s="10"/>
      <c r="H9" s="10"/>
      <c r="I9" s="10"/>
      <c r="J9" s="10">
        <v>1500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>
        <v>2500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>
        <v>300</v>
      </c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4" t="e">
        <f>VLOOKUP(#REF!,[1]PrO!A:B,2,0)</f>
        <v>#REF!</v>
      </c>
    </row>
    <row r="10" spans="1:81" ht="27" customHeight="1" x14ac:dyDescent="0.2">
      <c r="A10" s="15">
        <v>92584</v>
      </c>
      <c r="B10" s="8" t="s">
        <v>90</v>
      </c>
      <c r="C10" s="9" t="s">
        <v>91</v>
      </c>
      <c r="D10" s="9" t="s">
        <v>92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>
        <v>6000</v>
      </c>
      <c r="Y10" s="10"/>
      <c r="Z10" s="10">
        <v>5000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>
        <v>3000</v>
      </c>
      <c r="AS10" s="10">
        <v>4500</v>
      </c>
      <c r="AT10" s="10"/>
      <c r="AU10" s="10"/>
      <c r="AV10" s="10">
        <v>2500</v>
      </c>
      <c r="AW10" s="10">
        <v>300</v>
      </c>
      <c r="AX10" s="10"/>
      <c r="AY10" s="10"/>
      <c r="AZ10" s="10"/>
      <c r="BA10" s="10"/>
      <c r="BB10" s="10"/>
      <c r="BC10" s="10">
        <v>90</v>
      </c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>
        <v>600</v>
      </c>
      <c r="BU10" s="10"/>
      <c r="BV10" s="10"/>
      <c r="BW10" s="10"/>
      <c r="BX10" s="10"/>
      <c r="BY10" s="10"/>
      <c r="BZ10" s="10"/>
      <c r="CA10" s="10"/>
      <c r="CB10" s="10"/>
      <c r="CC10" s="14" t="e">
        <f>VLOOKUP(#REF!,[1]PrO!A:B,2,0)</f>
        <v>#REF!</v>
      </c>
    </row>
    <row r="11" spans="1:81" ht="27" customHeight="1" x14ac:dyDescent="0.2">
      <c r="A11" s="7">
        <v>62160095</v>
      </c>
      <c r="B11" s="8" t="s">
        <v>143</v>
      </c>
      <c r="C11" s="9" t="s">
        <v>144</v>
      </c>
      <c r="D11" s="9" t="s">
        <v>145</v>
      </c>
      <c r="E11" s="10"/>
      <c r="F11" s="10"/>
      <c r="G11" s="10"/>
      <c r="H11" s="10">
        <v>750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v>500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4" t="e">
        <f>VLOOKUP(#REF!,[1]PrO!A:B,2,0)</f>
        <v>#REF!</v>
      </c>
    </row>
    <row r="12" spans="1:81" ht="27" customHeight="1" x14ac:dyDescent="0.2">
      <c r="A12" s="7">
        <v>45671729</v>
      </c>
      <c r="B12" s="8" t="s">
        <v>108</v>
      </c>
      <c r="C12" s="9" t="s">
        <v>109</v>
      </c>
      <c r="D12" s="9" t="s">
        <v>110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>
        <v>1000</v>
      </c>
      <c r="AM12" s="10"/>
      <c r="AN12" s="10"/>
      <c r="AO12" s="10"/>
      <c r="AP12" s="10"/>
      <c r="AQ12" s="10"/>
      <c r="AR12" s="10"/>
      <c r="AS12" s="10"/>
      <c r="AT12" s="10"/>
      <c r="AU12" s="10">
        <v>3000</v>
      </c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4" t="e">
        <f>VLOOKUP(#REF!,[1]PrO!A:B,2,0)</f>
        <v>#REF!</v>
      </c>
    </row>
    <row r="13" spans="1:81" ht="27" customHeight="1" x14ac:dyDescent="0.2">
      <c r="A13" s="7">
        <v>60680300</v>
      </c>
      <c r="B13" s="8" t="s">
        <v>209</v>
      </c>
      <c r="C13" s="9" t="s">
        <v>210</v>
      </c>
      <c r="D13" s="9" t="s">
        <v>211</v>
      </c>
      <c r="E13" s="10">
        <v>1000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>
        <v>3800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>
        <v>1000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>
        <v>500</v>
      </c>
      <c r="BJ13" s="10">
        <v>300</v>
      </c>
      <c r="BK13" s="10">
        <v>6000</v>
      </c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>
        <v>20</v>
      </c>
      <c r="BW13" s="10"/>
      <c r="BX13" s="10"/>
      <c r="BY13" s="10"/>
      <c r="BZ13" s="10"/>
      <c r="CA13" s="10"/>
      <c r="CB13" s="10"/>
      <c r="CC13" s="14" t="e">
        <f>VLOOKUP(#REF!,[1]PrO!A:B,2,0)</f>
        <v>#REF!</v>
      </c>
    </row>
    <row r="14" spans="1:81" ht="27" customHeight="1" x14ac:dyDescent="0.2">
      <c r="A14" s="7">
        <v>70836931</v>
      </c>
      <c r="B14" s="8" t="s">
        <v>230</v>
      </c>
      <c r="C14" s="9" t="s">
        <v>231</v>
      </c>
      <c r="D14" s="9" t="s">
        <v>232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>
        <v>50</v>
      </c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4" t="e">
        <f>VLOOKUP(#REF!,[1]PrO!A:B,2,0)</f>
        <v>#REF!</v>
      </c>
    </row>
    <row r="15" spans="1:81" ht="27" customHeight="1" x14ac:dyDescent="0.2">
      <c r="A15" s="15">
        <v>638013</v>
      </c>
      <c r="B15" s="8" t="s">
        <v>81</v>
      </c>
      <c r="C15" s="9" t="s">
        <v>82</v>
      </c>
      <c r="D15" s="9" t="s">
        <v>83</v>
      </c>
      <c r="E15" s="10"/>
      <c r="F15" s="10"/>
      <c r="G15" s="10"/>
      <c r="H15" s="10"/>
      <c r="I15" s="10"/>
      <c r="J15" s="10"/>
      <c r="K15" s="10"/>
      <c r="L15" s="10"/>
      <c r="M15" s="10">
        <v>3000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>
        <v>3000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>
        <v>1000</v>
      </c>
      <c r="AY15" s="10"/>
      <c r="AZ15" s="10"/>
      <c r="BA15" s="10"/>
      <c r="BB15" s="10"/>
      <c r="BC15" s="10"/>
      <c r="BD15" s="10"/>
      <c r="BE15" s="10"/>
      <c r="BF15" s="10"/>
      <c r="BG15" s="10"/>
      <c r="BH15" s="10">
        <v>500</v>
      </c>
      <c r="BI15" s="10"/>
      <c r="BJ15" s="10"/>
      <c r="BK15" s="10"/>
      <c r="BL15" s="10"/>
      <c r="BM15" s="10"/>
      <c r="BN15" s="10"/>
      <c r="BO15" s="10"/>
      <c r="BP15" s="10"/>
      <c r="BQ15" s="10"/>
      <c r="BR15" s="10">
        <v>13000</v>
      </c>
      <c r="BS15" s="10"/>
      <c r="BT15" s="10"/>
      <c r="BU15" s="10"/>
      <c r="BV15" s="10">
        <v>20</v>
      </c>
      <c r="BW15" s="10">
        <v>2500</v>
      </c>
      <c r="BX15" s="10"/>
      <c r="BY15" s="10"/>
      <c r="BZ15" s="10"/>
      <c r="CA15" s="10"/>
      <c r="CB15" s="10"/>
      <c r="CC15" s="14" t="e">
        <f>VLOOKUP(#REF!,[1]PrO!A:B,2,0)</f>
        <v>#REF!</v>
      </c>
    </row>
    <row r="16" spans="1:81" s="19" customFormat="1" ht="27" customHeight="1" x14ac:dyDescent="0.2">
      <c r="A16" s="15">
        <v>387134</v>
      </c>
      <c r="B16" s="8" t="s">
        <v>179</v>
      </c>
      <c r="C16" s="9" t="s">
        <v>180</v>
      </c>
      <c r="D16" s="9" t="s">
        <v>181</v>
      </c>
      <c r="E16" s="10">
        <v>2000</v>
      </c>
      <c r="F16" s="10">
        <v>12000</v>
      </c>
      <c r="G16" s="10"/>
      <c r="H16" s="10"/>
      <c r="I16" s="10"/>
      <c r="J16" s="10"/>
      <c r="K16" s="10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0"/>
      <c r="X16" s="10">
        <v>4000</v>
      </c>
      <c r="Y16" s="10">
        <v>6000</v>
      </c>
      <c r="Z16" s="17"/>
      <c r="AA16" s="17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>
        <v>5000</v>
      </c>
      <c r="AN16" s="10">
        <v>500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>
        <v>6000</v>
      </c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>
        <v>5000</v>
      </c>
      <c r="BR16" s="10"/>
      <c r="BS16" s="10"/>
      <c r="BT16" s="10"/>
      <c r="BU16" s="10"/>
      <c r="BV16" s="10"/>
      <c r="BW16" s="10"/>
      <c r="BX16" s="10"/>
      <c r="BY16" s="10"/>
      <c r="BZ16" s="10"/>
      <c r="CA16" s="10">
        <v>4000</v>
      </c>
      <c r="CB16" s="10">
        <v>4000</v>
      </c>
      <c r="CC16" s="18" t="e">
        <f>VLOOKUP(#REF!,[1]PrO!A:B,2,0)</f>
        <v>#REF!</v>
      </c>
    </row>
    <row r="17" spans="1:81" ht="27" customHeight="1" x14ac:dyDescent="0.2">
      <c r="A17" s="15">
        <v>637980</v>
      </c>
      <c r="B17" s="8" t="s">
        <v>84</v>
      </c>
      <c r="C17" s="9" t="s">
        <v>85</v>
      </c>
      <c r="D17" s="9" t="s">
        <v>86</v>
      </c>
      <c r="E17" s="10"/>
      <c r="F17" s="10"/>
      <c r="G17" s="10"/>
      <c r="H17" s="10"/>
      <c r="I17" s="10"/>
      <c r="J17" s="10">
        <v>100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v>100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>
        <v>50</v>
      </c>
      <c r="AZ17" s="10"/>
      <c r="BA17" s="10"/>
      <c r="BB17" s="10"/>
      <c r="BC17" s="10"/>
      <c r="BD17" s="10"/>
      <c r="BE17" s="10"/>
      <c r="BF17" s="10"/>
      <c r="BG17" s="10">
        <v>100</v>
      </c>
      <c r="BH17" s="10">
        <v>50</v>
      </c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4" t="e">
        <f>VLOOKUP(#REF!,[1]PrO!A:B,2,0)</f>
        <v>#REF!</v>
      </c>
    </row>
    <row r="18" spans="1:81" ht="27" customHeight="1" x14ac:dyDescent="0.2">
      <c r="A18" s="15">
        <v>838446</v>
      </c>
      <c r="B18" s="8" t="s">
        <v>176</v>
      </c>
      <c r="C18" s="9" t="s">
        <v>177</v>
      </c>
      <c r="D18" s="9" t="s">
        <v>178</v>
      </c>
      <c r="E18" s="10"/>
      <c r="F18" s="10"/>
      <c r="G18" s="10"/>
      <c r="H18" s="10"/>
      <c r="I18" s="10">
        <v>4500</v>
      </c>
      <c r="J18" s="10"/>
      <c r="K18" s="10">
        <v>900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>
        <v>6000</v>
      </c>
      <c r="Y18" s="10"/>
      <c r="Z18" s="10"/>
      <c r="AA18" s="10"/>
      <c r="AB18" s="10"/>
      <c r="AC18" s="10"/>
      <c r="AD18" s="10"/>
      <c r="AE18" s="10">
        <v>3300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>
        <v>300</v>
      </c>
      <c r="AS18" s="10"/>
      <c r="AT18" s="10"/>
      <c r="AU18" s="10"/>
      <c r="AV18" s="10"/>
      <c r="AW18" s="10"/>
      <c r="AX18" s="10"/>
      <c r="AY18" s="10">
        <v>2000</v>
      </c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>
        <v>7500</v>
      </c>
      <c r="BP18" s="10"/>
      <c r="BQ18" s="10"/>
      <c r="BR18" s="10"/>
      <c r="BS18" s="10"/>
      <c r="BT18" s="10"/>
      <c r="BU18" s="10"/>
      <c r="BV18" s="10"/>
      <c r="BW18" s="10">
        <v>3000</v>
      </c>
      <c r="BX18" s="10"/>
      <c r="BY18" s="10"/>
      <c r="BZ18" s="10"/>
      <c r="CA18" s="10"/>
      <c r="CB18" s="10"/>
      <c r="CC18" s="14" t="e">
        <f>VLOOKUP(#REF!,[1]PrO!A:B,2,0)</f>
        <v>#REF!</v>
      </c>
    </row>
    <row r="19" spans="1:81" ht="27" customHeight="1" x14ac:dyDescent="0.2">
      <c r="A19" s="15">
        <v>226564</v>
      </c>
      <c r="B19" s="8" t="s">
        <v>160</v>
      </c>
      <c r="C19" s="9" t="s">
        <v>161</v>
      </c>
      <c r="D19" s="9" t="s">
        <v>162</v>
      </c>
      <c r="E19" s="10"/>
      <c r="F19" s="10"/>
      <c r="G19" s="10"/>
      <c r="H19" s="10">
        <v>2000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>
        <v>6000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>
        <v>8000</v>
      </c>
      <c r="AM19" s="10"/>
      <c r="AN19" s="10">
        <v>4000</v>
      </c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>
        <v>5000</v>
      </c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4" t="e">
        <f>VLOOKUP(#REF!,[1]PrO!A:B,2,0)</f>
        <v>#REF!</v>
      </c>
    </row>
    <row r="20" spans="1:81" ht="27" customHeight="1" x14ac:dyDescent="0.2">
      <c r="A20" s="7">
        <v>46937099</v>
      </c>
      <c r="B20" s="8" t="s">
        <v>165</v>
      </c>
      <c r="C20" s="9" t="s">
        <v>76</v>
      </c>
      <c r="D20" s="9" t="s">
        <v>166</v>
      </c>
      <c r="E20" s="10"/>
      <c r="F20" s="10"/>
      <c r="G20" s="10"/>
      <c r="H20" s="10">
        <v>400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>
        <v>80</v>
      </c>
      <c r="Y20" s="10"/>
      <c r="Z20" s="10">
        <v>560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>
        <v>180</v>
      </c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>
        <v>300</v>
      </c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4" t="e">
        <f>VLOOKUP(#REF!,[1]PrO!A:B,2,0)</f>
        <v>#REF!</v>
      </c>
    </row>
    <row r="21" spans="1:81" ht="27" customHeight="1" x14ac:dyDescent="0.2">
      <c r="A21" s="15">
        <v>567191</v>
      </c>
      <c r="B21" s="8" t="s">
        <v>134</v>
      </c>
      <c r="C21" s="9" t="s">
        <v>135</v>
      </c>
      <c r="D21" s="9" t="s">
        <v>136</v>
      </c>
      <c r="E21" s="10"/>
      <c r="F21" s="10"/>
      <c r="G21" s="10"/>
      <c r="H21" s="10"/>
      <c r="I21" s="10"/>
      <c r="J21" s="10"/>
      <c r="K21" s="10">
        <v>400</v>
      </c>
      <c r="L21" s="10"/>
      <c r="M21" s="10"/>
      <c r="N21" s="10"/>
      <c r="O21" s="10"/>
      <c r="P21" s="10"/>
      <c r="Q21" s="10"/>
      <c r="R21" s="10"/>
      <c r="S21" s="10"/>
      <c r="T21" s="10">
        <v>200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>
        <v>200</v>
      </c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4" t="e">
        <f>VLOOKUP(#REF!,[1]PrO!A:B,2,0)</f>
        <v>#REF!</v>
      </c>
    </row>
    <row r="22" spans="1:81" ht="27" customHeight="1" x14ac:dyDescent="0.2">
      <c r="A22" s="15">
        <v>212733</v>
      </c>
      <c r="B22" s="8" t="s">
        <v>215</v>
      </c>
      <c r="C22" s="9" t="s">
        <v>216</v>
      </c>
      <c r="D22" s="9" t="s">
        <v>217</v>
      </c>
      <c r="E22" s="10"/>
      <c r="F22" s="10"/>
      <c r="G22" s="10"/>
      <c r="H22" s="10"/>
      <c r="I22" s="10">
        <v>10000</v>
      </c>
      <c r="J22" s="10">
        <v>10000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6500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>
        <v>3800</v>
      </c>
      <c r="BN22" s="10"/>
      <c r="BO22" s="10">
        <v>3800</v>
      </c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4" t="e">
        <f>VLOOKUP(#REF!,[1]PrO!A:B,2,0)</f>
        <v>#REF!</v>
      </c>
    </row>
    <row r="23" spans="1:81" ht="27" customHeight="1" x14ac:dyDescent="0.2">
      <c r="A23" s="15">
        <v>89613</v>
      </c>
      <c r="B23" s="8" t="s">
        <v>194</v>
      </c>
      <c r="C23" s="9" t="s">
        <v>195</v>
      </c>
      <c r="D23" s="9" t="s">
        <v>196</v>
      </c>
      <c r="E23" s="10">
        <v>20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>
        <v>50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>
        <v>50</v>
      </c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4" t="e">
        <f>VLOOKUP(#REF!,[1]PrO!A:B,2,0)</f>
        <v>#REF!</v>
      </c>
    </row>
    <row r="24" spans="1:81" ht="27" customHeight="1" x14ac:dyDescent="0.2">
      <c r="A24" s="7">
        <v>61742902</v>
      </c>
      <c r="B24" s="8" t="s">
        <v>238</v>
      </c>
      <c r="C24" s="9" t="s">
        <v>239</v>
      </c>
      <c r="D24" s="9" t="s">
        <v>240</v>
      </c>
      <c r="E24" s="10"/>
      <c r="F24" s="10"/>
      <c r="G24" s="10"/>
      <c r="H24" s="10"/>
      <c r="I24" s="10"/>
      <c r="J24" s="10">
        <v>2000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v>500</v>
      </c>
      <c r="AA24" s="10"/>
      <c r="AB24" s="10"/>
      <c r="AC24" s="10"/>
      <c r="AD24" s="10"/>
      <c r="AE24" s="10"/>
      <c r="AF24" s="10"/>
      <c r="AG24" s="10"/>
      <c r="AH24" s="10">
        <v>250</v>
      </c>
      <c r="AI24" s="10"/>
      <c r="AJ24" s="10"/>
      <c r="AK24" s="10"/>
      <c r="AL24" s="10"/>
      <c r="AM24" s="10"/>
      <c r="AN24" s="10"/>
      <c r="AO24" s="10"/>
      <c r="AP24" s="10">
        <v>150</v>
      </c>
      <c r="AQ24" s="10"/>
      <c r="AR24" s="10"/>
      <c r="AS24" s="10"/>
      <c r="AT24" s="10"/>
      <c r="AU24" s="10">
        <v>150</v>
      </c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>
        <v>100</v>
      </c>
      <c r="BT24" s="10"/>
      <c r="BU24" s="10"/>
      <c r="BV24" s="10"/>
      <c r="BW24" s="10"/>
      <c r="BX24" s="10"/>
      <c r="BY24" s="10"/>
      <c r="BZ24" s="10"/>
      <c r="CA24" s="10"/>
      <c r="CB24" s="10"/>
      <c r="CC24" s="14" t="e">
        <f>VLOOKUP(#REF!,[1]PrO!A:B,2,0)</f>
        <v>#REF!</v>
      </c>
    </row>
    <row r="25" spans="1:81" ht="27" customHeight="1" x14ac:dyDescent="0.2">
      <c r="A25" s="7">
        <v>70997241</v>
      </c>
      <c r="B25" s="8" t="s">
        <v>188</v>
      </c>
      <c r="C25" s="9" t="s">
        <v>189</v>
      </c>
      <c r="D25" s="9" t="s">
        <v>190</v>
      </c>
      <c r="E25" s="10"/>
      <c r="F25" s="10"/>
      <c r="G25" s="10"/>
      <c r="H25" s="10">
        <v>12000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300</v>
      </c>
      <c r="AU25" s="10"/>
      <c r="AV25" s="10"/>
      <c r="AW25" s="10"/>
      <c r="AX25" s="10">
        <v>2000</v>
      </c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>
        <v>5000</v>
      </c>
      <c r="BN25" s="10"/>
      <c r="BO25" s="10"/>
      <c r="BP25" s="10"/>
      <c r="BQ25" s="10"/>
      <c r="BR25" s="10">
        <v>5000</v>
      </c>
      <c r="BS25" s="10"/>
      <c r="BT25" s="10"/>
      <c r="BU25" s="10"/>
      <c r="BV25" s="20">
        <v>4</v>
      </c>
      <c r="BW25" s="10">
        <v>6000</v>
      </c>
      <c r="BX25" s="10"/>
      <c r="BY25" s="10"/>
      <c r="BZ25" s="10"/>
      <c r="CA25" s="10"/>
      <c r="CB25" s="10"/>
      <c r="CC25" s="14" t="e">
        <f>VLOOKUP(#REF!,[1]PrO!A:B,2,0)</f>
        <v>#REF!</v>
      </c>
    </row>
    <row r="26" spans="1:81" ht="27" customHeight="1" x14ac:dyDescent="0.2">
      <c r="A26" s="15">
        <v>838420</v>
      </c>
      <c r="B26" s="8" t="s">
        <v>173</v>
      </c>
      <c r="C26" s="9" t="s">
        <v>174</v>
      </c>
      <c r="D26" s="9" t="s">
        <v>175</v>
      </c>
      <c r="E26" s="10"/>
      <c r="F26" s="10"/>
      <c r="G26" s="10"/>
      <c r="H26" s="10">
        <v>5000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>
        <v>8000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>
        <v>2000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>
        <v>1000</v>
      </c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6000</v>
      </c>
      <c r="BP26" s="10"/>
      <c r="BQ26" s="10"/>
      <c r="BR26" s="10"/>
      <c r="BS26" s="10">
        <v>1500</v>
      </c>
      <c r="BT26" s="10"/>
      <c r="BU26" s="10"/>
      <c r="BV26" s="10"/>
      <c r="BW26" s="10">
        <v>1000</v>
      </c>
      <c r="BX26" s="10"/>
      <c r="BY26" s="10"/>
      <c r="BZ26" s="10"/>
      <c r="CA26" s="10"/>
      <c r="CB26" s="10"/>
      <c r="CC26" s="14" t="e">
        <f>VLOOKUP(#REF!,[1]PrO!A:B,2,0)</f>
        <v>#REF!</v>
      </c>
    </row>
    <row r="27" spans="1:81" ht="27" customHeight="1" x14ac:dyDescent="0.2">
      <c r="A27" s="7">
        <v>45671877</v>
      </c>
      <c r="B27" s="8" t="s">
        <v>185</v>
      </c>
      <c r="C27" s="9" t="s">
        <v>186</v>
      </c>
      <c r="D27" s="9" t="s">
        <v>187</v>
      </c>
      <c r="E27" s="10"/>
      <c r="F27" s="10">
        <v>4000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>
        <v>4000</v>
      </c>
      <c r="AB27" s="10"/>
      <c r="AC27" s="10"/>
      <c r="AD27" s="10">
        <v>4000</v>
      </c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>
        <v>600</v>
      </c>
      <c r="BG27" s="10">
        <v>3000</v>
      </c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4000</v>
      </c>
      <c r="BR27" s="10"/>
      <c r="BS27" s="10"/>
      <c r="BT27" s="10"/>
      <c r="BU27" s="10"/>
      <c r="BV27" s="10">
        <v>5</v>
      </c>
      <c r="BW27" s="10"/>
      <c r="BX27" s="10">
        <v>4000</v>
      </c>
      <c r="BY27" s="10"/>
      <c r="BZ27" s="10"/>
      <c r="CA27" s="10"/>
      <c r="CB27" s="10"/>
      <c r="CC27" s="14" t="e">
        <f>VLOOKUP(#REF!,[1]PrO!A:B,2,0)</f>
        <v>#REF!</v>
      </c>
    </row>
    <row r="28" spans="1:81" ht="27" customHeight="1" x14ac:dyDescent="0.2">
      <c r="A28" s="7">
        <v>46937081</v>
      </c>
      <c r="B28" s="8" t="s">
        <v>224</v>
      </c>
      <c r="C28" s="9" t="s">
        <v>225</v>
      </c>
      <c r="D28" s="9" t="s">
        <v>226</v>
      </c>
      <c r="E28" s="10"/>
      <c r="F28" s="10"/>
      <c r="G28" s="10"/>
      <c r="H28" s="10"/>
      <c r="I28" s="10">
        <v>2000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>
        <v>2000</v>
      </c>
      <c r="AD28" s="10"/>
      <c r="AE28" s="10"/>
      <c r="AF28" s="10"/>
      <c r="AG28" s="10"/>
      <c r="AH28" s="10"/>
      <c r="AI28" s="10"/>
      <c r="AJ28" s="10"/>
      <c r="AK28" s="10"/>
      <c r="AL28" s="10">
        <v>1500</v>
      </c>
      <c r="AM28" s="10"/>
      <c r="AN28" s="10">
        <v>3500</v>
      </c>
      <c r="AO28" s="10"/>
      <c r="AP28" s="10">
        <v>250</v>
      </c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4" t="e">
        <f>VLOOKUP(#REF!,[1]PrO!A:B,2,0)</f>
        <v>#REF!</v>
      </c>
    </row>
    <row r="29" spans="1:81" ht="27" customHeight="1" x14ac:dyDescent="0.2">
      <c r="A29" s="15">
        <v>838225</v>
      </c>
      <c r="B29" s="8" t="s">
        <v>227</v>
      </c>
      <c r="C29" s="9" t="s">
        <v>228</v>
      </c>
      <c r="D29" s="9" t="s">
        <v>229</v>
      </c>
      <c r="E29" s="10"/>
      <c r="F29" s="10"/>
      <c r="G29" s="10"/>
      <c r="H29" s="10">
        <v>2500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>
        <v>2000</v>
      </c>
      <c r="AA29" s="10"/>
      <c r="AB29" s="10"/>
      <c r="AC29" s="10"/>
      <c r="AD29" s="10"/>
      <c r="AE29" s="10"/>
      <c r="AF29" s="10"/>
      <c r="AG29" s="10"/>
      <c r="AH29" s="10">
        <v>500</v>
      </c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4" t="e">
        <f>VLOOKUP(#REF!,[1]PrO!A:B,2,0)</f>
        <v>#REF!</v>
      </c>
    </row>
    <row r="30" spans="1:81" ht="27" customHeight="1" x14ac:dyDescent="0.2">
      <c r="A30" s="15">
        <v>346292</v>
      </c>
      <c r="B30" s="8" t="s">
        <v>114</v>
      </c>
      <c r="C30" s="9" t="s">
        <v>115</v>
      </c>
      <c r="D30" s="9" t="s">
        <v>116</v>
      </c>
      <c r="E30" s="10"/>
      <c r="F30" s="10"/>
      <c r="G30" s="10"/>
      <c r="H30" s="10">
        <v>20000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>
        <v>4000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>
        <v>2000</v>
      </c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>
        <v>2000</v>
      </c>
      <c r="BF30" s="10"/>
      <c r="BG30" s="10"/>
      <c r="BH30" s="10"/>
      <c r="BI30" s="10"/>
      <c r="BJ30" s="10">
        <v>100</v>
      </c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4" t="e">
        <f>VLOOKUP(#REF!,[1]PrO!A:B,2,0)</f>
        <v>#REF!</v>
      </c>
    </row>
    <row r="31" spans="1:81" ht="27" customHeight="1" x14ac:dyDescent="0.2">
      <c r="A31" s="15">
        <v>559539</v>
      </c>
      <c r="B31" s="8" t="s">
        <v>233</v>
      </c>
      <c r="C31" s="9" t="s">
        <v>234</v>
      </c>
      <c r="D31" s="9" t="s">
        <v>235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>
        <v>600</v>
      </c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4" t="e">
        <f>VLOOKUP(#REF!,[1]PrO!A:B,2,0)</f>
        <v>#REF!</v>
      </c>
    </row>
    <row r="32" spans="1:81" ht="27" customHeight="1" x14ac:dyDescent="0.2">
      <c r="A32" s="7">
        <v>46937102</v>
      </c>
      <c r="B32" s="8" t="s">
        <v>206</v>
      </c>
      <c r="C32" s="9" t="s">
        <v>207</v>
      </c>
      <c r="D32" s="9" t="s">
        <v>208</v>
      </c>
      <c r="E32" s="10">
        <v>1400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>
        <v>900</v>
      </c>
      <c r="AM32" s="10">
        <v>150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v>600</v>
      </c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4" t="e">
        <f>VLOOKUP(#REF!,[1]PrO!A:B,2,0)</f>
        <v>#REF!</v>
      </c>
    </row>
    <row r="33" spans="1:81" ht="27" customHeight="1" x14ac:dyDescent="0.2">
      <c r="A33" s="7">
        <v>49459899</v>
      </c>
      <c r="B33" s="8" t="s">
        <v>218</v>
      </c>
      <c r="C33" s="9" t="s">
        <v>219</v>
      </c>
      <c r="D33" s="9" t="s">
        <v>220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>
        <v>1800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>
        <v>200</v>
      </c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4" t="e">
        <f>VLOOKUP(#REF!,[1]PrO!A:B,2,0)</f>
        <v>#REF!</v>
      </c>
    </row>
    <row r="34" spans="1:81" ht="27" customHeight="1" x14ac:dyDescent="0.2">
      <c r="A34" s="7">
        <v>43420656</v>
      </c>
      <c r="B34" s="8" t="s">
        <v>191</v>
      </c>
      <c r="C34" s="9" t="s">
        <v>192</v>
      </c>
      <c r="D34" s="9" t="s">
        <v>193</v>
      </c>
      <c r="E34" s="10"/>
      <c r="F34" s="10"/>
      <c r="G34" s="10"/>
      <c r="H34" s="10"/>
      <c r="I34" s="10"/>
      <c r="J34" s="10"/>
      <c r="K34" s="10"/>
      <c r="L34" s="10"/>
      <c r="M34" s="10">
        <v>500</v>
      </c>
      <c r="N34" s="10"/>
      <c r="O34" s="10"/>
      <c r="P34" s="10"/>
      <c r="Q34" s="10"/>
      <c r="R34" s="10"/>
      <c r="S34" s="10"/>
      <c r="T34" s="10">
        <v>600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>
        <v>100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400</v>
      </c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4" t="e">
        <f>VLOOKUP(#REF!,[1]PrO!A:B,2,0)</f>
        <v>#REF!</v>
      </c>
    </row>
    <row r="35" spans="1:81" ht="27" customHeight="1" x14ac:dyDescent="0.2">
      <c r="A35" s="15">
        <v>839205</v>
      </c>
      <c r="B35" s="8" t="s">
        <v>125</v>
      </c>
      <c r="C35" s="9" t="s">
        <v>126</v>
      </c>
      <c r="D35" s="9" t="s">
        <v>127</v>
      </c>
      <c r="E35" s="10"/>
      <c r="F35" s="10"/>
      <c r="G35" s="10"/>
      <c r="H35" s="10"/>
      <c r="I35" s="10"/>
      <c r="J35" s="10"/>
      <c r="K35" s="10">
        <v>38000</v>
      </c>
      <c r="L35" s="10">
        <v>4500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>
        <v>1000</v>
      </c>
      <c r="AM35" s="10">
        <v>2000</v>
      </c>
      <c r="AN35" s="10">
        <v>12000</v>
      </c>
      <c r="AO35" s="10">
        <v>18000</v>
      </c>
      <c r="AP35" s="10">
        <v>3000</v>
      </c>
      <c r="AQ35" s="10">
        <v>14000</v>
      </c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4" t="e">
        <f>VLOOKUP(#REF!,[1]PrO!A:B,2,0)</f>
        <v>#REF!</v>
      </c>
    </row>
    <row r="36" spans="1:81" ht="27" customHeight="1" x14ac:dyDescent="0.2">
      <c r="A36" s="7">
        <v>71197770</v>
      </c>
      <c r="B36" s="8" t="s">
        <v>155</v>
      </c>
      <c r="C36" s="9" t="s">
        <v>77</v>
      </c>
      <c r="D36" s="9" t="s">
        <v>156</v>
      </c>
      <c r="E36" s="10">
        <v>200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>
        <v>50</v>
      </c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4" t="e">
        <f>VLOOKUP(#REF!,[1]PrO!A:B,2,0)</f>
        <v>#REF!</v>
      </c>
    </row>
    <row r="37" spans="1:81" ht="27" customHeight="1" x14ac:dyDescent="0.2">
      <c r="A37" s="7">
        <v>15530213</v>
      </c>
      <c r="B37" s="8" t="s">
        <v>111</v>
      </c>
      <c r="C37" s="9" t="s">
        <v>112</v>
      </c>
      <c r="D37" s="9" t="s">
        <v>113</v>
      </c>
      <c r="E37" s="10"/>
      <c r="F37" s="10"/>
      <c r="G37" s="10">
        <v>1200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>
        <v>1200</v>
      </c>
      <c r="X37" s="10"/>
      <c r="Y37" s="10"/>
      <c r="Z37" s="10"/>
      <c r="AA37" s="10"/>
      <c r="AB37" s="10"/>
      <c r="AC37" s="10"/>
      <c r="AD37" s="10"/>
      <c r="AE37" s="10">
        <v>500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>
        <v>600</v>
      </c>
      <c r="AU37" s="10"/>
      <c r="AV37" s="10"/>
      <c r="AW37" s="10"/>
      <c r="AX37" s="10"/>
      <c r="AY37" s="10"/>
      <c r="AZ37" s="10"/>
      <c r="BA37" s="10"/>
      <c r="BB37" s="10"/>
      <c r="BC37" s="10">
        <v>50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4" t="e">
        <f>VLOOKUP(#REF!,[1]PrO!A:B,2,0)</f>
        <v>#REF!</v>
      </c>
    </row>
    <row r="38" spans="1:81" ht="27" customHeight="1" x14ac:dyDescent="0.2">
      <c r="A38" s="7">
        <v>44993633</v>
      </c>
      <c r="B38" s="8" t="s">
        <v>102</v>
      </c>
      <c r="C38" s="9" t="s">
        <v>103</v>
      </c>
      <c r="D38" s="9" t="s">
        <v>104</v>
      </c>
      <c r="E38" s="10"/>
      <c r="F38" s="10"/>
      <c r="G38" s="10"/>
      <c r="H38" s="10"/>
      <c r="I38" s="10"/>
      <c r="J38" s="10"/>
      <c r="K38" s="10">
        <v>1500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>
        <v>200</v>
      </c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4" t="e">
        <f>VLOOKUP(#REF!,[1]PrO!A:B,2,0)</f>
        <v>#REF!</v>
      </c>
    </row>
    <row r="39" spans="1:81" ht="27" customHeight="1" x14ac:dyDescent="0.2">
      <c r="A39" s="7">
        <v>49939416</v>
      </c>
      <c r="B39" s="8" t="s">
        <v>244</v>
      </c>
      <c r="C39" s="9" t="s">
        <v>245</v>
      </c>
      <c r="D39" s="9" t="s">
        <v>246</v>
      </c>
      <c r="E39" s="10"/>
      <c r="F39" s="10"/>
      <c r="G39" s="10"/>
      <c r="H39" s="10">
        <v>600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>
        <v>300</v>
      </c>
      <c r="AS39" s="10"/>
      <c r="AT39" s="10">
        <v>150</v>
      </c>
      <c r="AU39" s="10"/>
      <c r="AV39" s="10">
        <v>150</v>
      </c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4" t="e">
        <f>VLOOKUP(#REF!,[1]PrO!A:B,2,0)</f>
        <v>#REF!</v>
      </c>
    </row>
    <row r="40" spans="1:81" ht="27" customHeight="1" x14ac:dyDescent="0.2">
      <c r="A40" s="7">
        <v>60680342</v>
      </c>
      <c r="B40" s="8" t="s">
        <v>182</v>
      </c>
      <c r="C40" s="9" t="s">
        <v>183</v>
      </c>
      <c r="D40" s="9" t="s">
        <v>184</v>
      </c>
      <c r="E40" s="10"/>
      <c r="F40" s="10"/>
      <c r="G40" s="10"/>
      <c r="H40" s="10">
        <v>2500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>
        <v>2000</v>
      </c>
      <c r="Y40" s="10"/>
      <c r="Z40" s="10"/>
      <c r="AA40" s="10"/>
      <c r="AB40" s="10"/>
      <c r="AC40" s="10"/>
      <c r="AD40" s="10"/>
      <c r="AE40" s="10">
        <v>1000</v>
      </c>
      <c r="AF40" s="10">
        <v>1500</v>
      </c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4" t="e">
        <f>VLOOKUP(#REF!,[1]PrO!A:B,2,0)</f>
        <v>#REF!</v>
      </c>
    </row>
    <row r="41" spans="1:81" ht="27" customHeight="1" x14ac:dyDescent="0.2">
      <c r="A41" s="7">
        <v>62075985</v>
      </c>
      <c r="B41" s="8" t="s">
        <v>157</v>
      </c>
      <c r="C41" s="9" t="s">
        <v>158</v>
      </c>
      <c r="D41" s="9" t="s">
        <v>159</v>
      </c>
      <c r="E41" s="10"/>
      <c r="F41" s="10"/>
      <c r="G41" s="10"/>
      <c r="H41" s="10"/>
      <c r="I41" s="10">
        <v>500</v>
      </c>
      <c r="J41" s="10">
        <v>500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>
        <v>400</v>
      </c>
      <c r="AB41" s="10"/>
      <c r="AC41" s="10"/>
      <c r="AD41" s="10"/>
      <c r="AE41" s="10"/>
      <c r="AF41" s="10">
        <v>100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>
        <v>500</v>
      </c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4" t="e">
        <f>VLOOKUP(#REF!,[1]PrO!A:B,2,0)</f>
        <v>#REF!</v>
      </c>
    </row>
    <row r="42" spans="1:81" ht="27" customHeight="1" x14ac:dyDescent="0.2">
      <c r="A42" s="7">
        <v>60552255</v>
      </c>
      <c r="B42" s="8" t="s">
        <v>128</v>
      </c>
      <c r="C42" s="9" t="s">
        <v>129</v>
      </c>
      <c r="D42" s="9" t="s">
        <v>130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>
        <v>300</v>
      </c>
      <c r="AI42" s="10"/>
      <c r="AJ42" s="10"/>
      <c r="AK42" s="10"/>
      <c r="AL42" s="10"/>
      <c r="AM42" s="10"/>
      <c r="AN42" s="10"/>
      <c r="AO42" s="10"/>
      <c r="AP42" s="10"/>
      <c r="AQ42" s="10"/>
      <c r="AR42" s="10">
        <v>400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>
        <v>15000</v>
      </c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4" t="e">
        <f>VLOOKUP(#REF!,[1]PrO!A:B,2,0)</f>
        <v>#REF!</v>
      </c>
    </row>
    <row r="43" spans="1:81" ht="27" customHeight="1" x14ac:dyDescent="0.2">
      <c r="A43" s="7">
        <v>14120097</v>
      </c>
      <c r="B43" s="8" t="s">
        <v>253</v>
      </c>
      <c r="C43" s="9" t="s">
        <v>254</v>
      </c>
      <c r="D43" s="9" t="s">
        <v>255</v>
      </c>
      <c r="E43" s="10"/>
      <c r="F43" s="10"/>
      <c r="G43" s="10"/>
      <c r="H43" s="10"/>
      <c r="I43" s="10">
        <v>5000</v>
      </c>
      <c r="J43" s="10"/>
      <c r="K43" s="10"/>
      <c r="L43" s="10"/>
      <c r="M43" s="10"/>
      <c r="N43" s="10">
        <v>500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>
        <v>400</v>
      </c>
      <c r="AD43" s="10">
        <v>300</v>
      </c>
      <c r="AE43" s="10"/>
      <c r="AF43" s="10"/>
      <c r="AG43" s="10"/>
      <c r="AH43" s="10"/>
      <c r="AI43" s="10">
        <v>300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>
        <v>3000</v>
      </c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v>7500</v>
      </c>
      <c r="BP43" s="10"/>
      <c r="BQ43" s="10"/>
      <c r="BR43" s="10"/>
      <c r="BS43" s="10"/>
      <c r="BT43" s="10"/>
      <c r="BU43" s="10"/>
      <c r="BV43" s="10">
        <v>28</v>
      </c>
      <c r="BW43" s="10"/>
      <c r="BX43" s="10"/>
      <c r="BY43" s="10"/>
      <c r="BZ43" s="10"/>
      <c r="CA43" s="10"/>
      <c r="CB43" s="10"/>
      <c r="CC43" s="14" t="e">
        <f>VLOOKUP(#REF!,[1]PrO!A:B,2,0)</f>
        <v>#REF!</v>
      </c>
    </row>
    <row r="44" spans="1:81" ht="27" customHeight="1" x14ac:dyDescent="0.2">
      <c r="A44" s="15">
        <v>53163</v>
      </c>
      <c r="B44" s="8" t="s">
        <v>170</v>
      </c>
      <c r="C44" s="9" t="s">
        <v>171</v>
      </c>
      <c r="D44" s="9" t="s">
        <v>172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>
        <v>600</v>
      </c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>
        <v>50</v>
      </c>
      <c r="AY44" s="10"/>
      <c r="AZ44" s="10"/>
      <c r="BA44" s="10">
        <v>50</v>
      </c>
      <c r="BB44" s="10"/>
      <c r="BC44" s="10"/>
      <c r="BD44" s="10"/>
      <c r="BE44" s="10"/>
      <c r="BF44" s="10">
        <v>600</v>
      </c>
      <c r="BG44" s="10">
        <v>600</v>
      </c>
      <c r="BH44" s="10"/>
      <c r="BI44" s="10">
        <v>1000</v>
      </c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>
        <v>1000</v>
      </c>
      <c r="BX44" s="10"/>
      <c r="BY44" s="10"/>
      <c r="BZ44" s="10"/>
      <c r="CA44" s="10"/>
      <c r="CB44" s="10"/>
      <c r="CC44" s="14" t="e">
        <f>VLOOKUP(#REF!,[1]PrO!A:B,2,0)</f>
        <v>#REF!</v>
      </c>
    </row>
    <row r="45" spans="1:81" ht="27" customHeight="1" x14ac:dyDescent="0.2">
      <c r="A45" s="15">
        <v>226467</v>
      </c>
      <c r="B45" s="8" t="s">
        <v>140</v>
      </c>
      <c r="C45" s="9" t="s">
        <v>141</v>
      </c>
      <c r="D45" s="9" t="s">
        <v>142</v>
      </c>
      <c r="E45" s="10"/>
      <c r="F45" s="10">
        <v>2000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>
        <v>2000</v>
      </c>
      <c r="AB45" s="10"/>
      <c r="AC45" s="10"/>
      <c r="AD45" s="10"/>
      <c r="AE45" s="10"/>
      <c r="AF45" s="10"/>
      <c r="AG45" s="10"/>
      <c r="AH45" s="10">
        <v>300</v>
      </c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>
        <v>1000</v>
      </c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4" t="e">
        <f>VLOOKUP(#REF!,[1]PrO!A:B,2,0)</f>
        <v>#REF!</v>
      </c>
    </row>
    <row r="46" spans="1:81" ht="27" customHeight="1" x14ac:dyDescent="0.2">
      <c r="A46" s="15">
        <v>380458</v>
      </c>
      <c r="B46" s="8" t="s">
        <v>247</v>
      </c>
      <c r="C46" s="9" t="s">
        <v>248</v>
      </c>
      <c r="D46" s="9" t="s">
        <v>249</v>
      </c>
      <c r="E46" s="10"/>
      <c r="F46" s="10"/>
      <c r="G46" s="10"/>
      <c r="H46" s="10"/>
      <c r="I46" s="10">
        <v>6000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>
        <v>450</v>
      </c>
      <c r="AB46" s="10"/>
      <c r="AC46" s="10">
        <v>450</v>
      </c>
      <c r="AD46" s="10"/>
      <c r="AE46" s="10"/>
      <c r="AF46" s="10"/>
      <c r="AG46" s="10"/>
      <c r="AH46" s="10"/>
      <c r="AI46" s="10"/>
      <c r="AJ46" s="10"/>
      <c r="AK46" s="10"/>
      <c r="AL46" s="10">
        <v>500</v>
      </c>
      <c r="AM46" s="10"/>
      <c r="AN46" s="10">
        <v>300</v>
      </c>
      <c r="AO46" s="10"/>
      <c r="AP46" s="10"/>
      <c r="AQ46" s="10"/>
      <c r="AR46" s="10">
        <v>3750</v>
      </c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>
        <v>5000</v>
      </c>
      <c r="BN46" s="10"/>
      <c r="BO46" s="10"/>
      <c r="BP46" s="10"/>
      <c r="BQ46" s="10"/>
      <c r="BR46" s="10">
        <v>1500</v>
      </c>
      <c r="BS46" s="10"/>
      <c r="BT46" s="10">
        <v>150</v>
      </c>
      <c r="BU46" s="10">
        <v>12</v>
      </c>
      <c r="BV46" s="10"/>
      <c r="BW46" s="10"/>
      <c r="BX46" s="10"/>
      <c r="BY46" s="10"/>
      <c r="BZ46" s="10"/>
      <c r="CA46" s="10"/>
      <c r="CB46" s="10"/>
      <c r="CC46" s="14" t="e">
        <f>VLOOKUP(#REF!,[1]PrO!A:B,2,0)</f>
        <v>#REF!</v>
      </c>
    </row>
    <row r="47" spans="1:81" ht="27" customHeight="1" x14ac:dyDescent="0.2">
      <c r="A47" s="7">
        <v>70285772</v>
      </c>
      <c r="B47" s="8" t="s">
        <v>117</v>
      </c>
      <c r="C47" s="9" t="s">
        <v>78</v>
      </c>
      <c r="D47" s="9" t="s">
        <v>118</v>
      </c>
      <c r="E47" s="10"/>
      <c r="F47" s="10"/>
      <c r="G47" s="10">
        <v>500</v>
      </c>
      <c r="H47" s="10">
        <v>500</v>
      </c>
      <c r="I47" s="10"/>
      <c r="J47" s="10"/>
      <c r="K47" s="10"/>
      <c r="L47" s="10"/>
      <c r="M47" s="10"/>
      <c r="N47" s="10"/>
      <c r="O47" s="10">
        <v>500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>
        <v>1000</v>
      </c>
      <c r="BN47" s="10"/>
      <c r="BO47" s="10"/>
      <c r="BP47" s="10"/>
      <c r="BQ47" s="10">
        <v>1000</v>
      </c>
      <c r="BR47" s="10">
        <v>1000</v>
      </c>
      <c r="BS47" s="10"/>
      <c r="BT47" s="10"/>
      <c r="BU47" s="10"/>
      <c r="BV47" s="10"/>
      <c r="BW47" s="10"/>
      <c r="BX47" s="10">
        <v>500</v>
      </c>
      <c r="BY47" s="10"/>
      <c r="BZ47" s="10"/>
      <c r="CA47" s="10"/>
      <c r="CB47" s="10"/>
      <c r="CC47" s="14" t="e">
        <f>VLOOKUP(#REF!,[1]PrO!A:B,2,0)</f>
        <v>#REF!</v>
      </c>
    </row>
    <row r="48" spans="1:81" ht="49.5" customHeight="1" x14ac:dyDescent="0.2">
      <c r="A48" s="7">
        <v>60555998</v>
      </c>
      <c r="B48" s="8" t="s">
        <v>149</v>
      </c>
      <c r="C48" s="9" t="s">
        <v>150</v>
      </c>
      <c r="D48" s="9" t="s">
        <v>151</v>
      </c>
      <c r="E48" s="10">
        <v>1000</v>
      </c>
      <c r="F48" s="10"/>
      <c r="G48" s="10"/>
      <c r="H48" s="10"/>
      <c r="I48" s="10">
        <v>1000</v>
      </c>
      <c r="J48" s="10"/>
      <c r="K48" s="10"/>
      <c r="L48" s="10"/>
      <c r="M48" s="10"/>
      <c r="N48" s="10"/>
      <c r="O48" s="10"/>
      <c r="P48" s="10">
        <v>800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>
        <v>700</v>
      </c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>
        <v>500</v>
      </c>
      <c r="BN48" s="10"/>
      <c r="BO48" s="10"/>
      <c r="BP48" s="10"/>
      <c r="BQ48" s="10">
        <v>500</v>
      </c>
      <c r="BR48" s="10"/>
      <c r="BS48" s="10"/>
      <c r="BT48" s="10"/>
      <c r="BU48" s="10"/>
      <c r="BV48" s="10">
        <v>2</v>
      </c>
      <c r="BW48" s="10"/>
      <c r="BX48" s="10"/>
      <c r="BY48" s="10"/>
      <c r="BZ48" s="10"/>
      <c r="CA48" s="10"/>
      <c r="CB48" s="10"/>
      <c r="CC48" s="14" t="e">
        <f>VLOOKUP(#REF!,[1]PrO!A:B,2,0)</f>
        <v>#REF!</v>
      </c>
    </row>
    <row r="49" spans="1:81" ht="27" customHeight="1" x14ac:dyDescent="0.2">
      <c r="A49" s="15">
        <v>837385</v>
      </c>
      <c r="B49" s="8" t="s">
        <v>241</v>
      </c>
      <c r="C49" s="9" t="s">
        <v>242</v>
      </c>
      <c r="D49" s="9" t="s">
        <v>243</v>
      </c>
      <c r="E49" s="10"/>
      <c r="F49" s="10"/>
      <c r="G49" s="10"/>
      <c r="H49" s="10"/>
      <c r="I49" s="10">
        <v>4000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>
        <v>400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>
        <v>1000</v>
      </c>
      <c r="AS49" s="10"/>
      <c r="AT49" s="10">
        <v>600</v>
      </c>
      <c r="AU49" s="10"/>
      <c r="AV49" s="10">
        <v>500</v>
      </c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>
        <v>100</v>
      </c>
      <c r="BH49" s="10"/>
      <c r="BI49" s="10"/>
      <c r="BJ49" s="10">
        <v>150</v>
      </c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4" t="e">
        <f>VLOOKUP(#REF!,[1]PrO!A:B,2,0)</f>
        <v>#REF!</v>
      </c>
    </row>
    <row r="50" spans="1:81" ht="27" customHeight="1" x14ac:dyDescent="0.2">
      <c r="A50" s="7">
        <v>60555211</v>
      </c>
      <c r="B50" s="8" t="s">
        <v>197</v>
      </c>
      <c r="C50" s="9" t="s">
        <v>198</v>
      </c>
      <c r="D50" s="9" t="s">
        <v>199</v>
      </c>
      <c r="E50" s="10"/>
      <c r="F50" s="10"/>
      <c r="G50" s="10"/>
      <c r="H50" s="10"/>
      <c r="I50" s="10">
        <v>500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4" t="e">
        <f>VLOOKUP(#REF!,[1]PrO!A:B,2,0)</f>
        <v>#REF!</v>
      </c>
    </row>
    <row r="51" spans="1:81" ht="27" customHeight="1" x14ac:dyDescent="0.2">
      <c r="A51" s="7">
        <v>49408381</v>
      </c>
      <c r="B51" s="8" t="s">
        <v>152</v>
      </c>
      <c r="C51" s="9" t="s">
        <v>153</v>
      </c>
      <c r="D51" s="9" t="s">
        <v>154</v>
      </c>
      <c r="E51" s="10">
        <v>1500</v>
      </c>
      <c r="F51" s="10"/>
      <c r="G51" s="10"/>
      <c r="H51" s="10">
        <v>4000</v>
      </c>
      <c r="I51" s="10"/>
      <c r="J51" s="10"/>
      <c r="K51" s="10"/>
      <c r="L51" s="10"/>
      <c r="M51" s="10"/>
      <c r="N51" s="10"/>
      <c r="O51" s="10"/>
      <c r="P51" s="10"/>
      <c r="Q51" s="10">
        <v>1000</v>
      </c>
      <c r="R51" s="10"/>
      <c r="S51" s="10"/>
      <c r="T51" s="10"/>
      <c r="U51" s="10"/>
      <c r="V51" s="10"/>
      <c r="W51" s="10"/>
      <c r="X51" s="10"/>
      <c r="Y51" s="10"/>
      <c r="Z51" s="10">
        <v>4000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>
        <v>500</v>
      </c>
      <c r="AL51" s="10"/>
      <c r="AM51" s="10"/>
      <c r="AN51" s="10"/>
      <c r="AO51" s="10"/>
      <c r="AP51" s="10"/>
      <c r="AQ51" s="10">
        <v>500</v>
      </c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>
        <v>10000</v>
      </c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4" t="e">
        <f>VLOOKUP(#REF!,[1]PrO!A:B,2,0)</f>
        <v>#REF!</v>
      </c>
    </row>
    <row r="52" spans="1:81" ht="27" customHeight="1" x14ac:dyDescent="0.2">
      <c r="A52" s="15">
        <v>225827</v>
      </c>
      <c r="B52" s="8" t="s">
        <v>212</v>
      </c>
      <c r="C52" s="9" t="s">
        <v>213</v>
      </c>
      <c r="D52" s="9" t="s">
        <v>214</v>
      </c>
      <c r="E52" s="10">
        <v>8000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0">
        <v>5000</v>
      </c>
      <c r="AH52" s="14"/>
      <c r="AI52" s="14"/>
      <c r="AJ52" s="14"/>
      <c r="AK52" s="14"/>
      <c r="AL52" s="14"/>
      <c r="AM52" s="14"/>
      <c r="AN52" s="14"/>
      <c r="AO52" s="14"/>
      <c r="AP52" s="10">
        <v>8000</v>
      </c>
      <c r="AQ52" s="10">
        <v>5000</v>
      </c>
      <c r="AR52" s="14"/>
      <c r="AS52" s="14"/>
      <c r="AT52" s="10">
        <v>8000</v>
      </c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 t="e">
        <f>VLOOKUP(#REF!,[1]PrO!A:B,2,0)</f>
        <v>#REF!</v>
      </c>
    </row>
    <row r="53" spans="1:81" ht="27" customHeight="1" x14ac:dyDescent="0.2">
      <c r="A53" s="7">
        <v>13692933</v>
      </c>
      <c r="B53" s="8" t="s">
        <v>122</v>
      </c>
      <c r="C53" s="9" t="s">
        <v>123</v>
      </c>
      <c r="D53" s="9" t="s">
        <v>124</v>
      </c>
      <c r="E53" s="14"/>
      <c r="F53" s="14"/>
      <c r="G53" s="14"/>
      <c r="H53" s="10">
        <v>3000</v>
      </c>
      <c r="I53" s="14"/>
      <c r="J53" s="14"/>
      <c r="K53" s="14"/>
      <c r="L53" s="14"/>
      <c r="M53" s="14"/>
      <c r="N53" s="14"/>
      <c r="O53" s="14"/>
      <c r="P53" s="14"/>
      <c r="Q53" s="10">
        <v>100</v>
      </c>
      <c r="R53" s="14"/>
      <c r="S53" s="14"/>
      <c r="T53" s="14"/>
      <c r="U53" s="14"/>
      <c r="V53" s="14"/>
      <c r="W53" s="14"/>
      <c r="X53" s="14"/>
      <c r="Y53" s="14"/>
      <c r="Z53" s="10">
        <v>2000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0">
        <v>300</v>
      </c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 t="e">
        <f>VLOOKUP(#REF!,[1]PrO!A:B,2,0)</f>
        <v>#REF!</v>
      </c>
    </row>
    <row r="54" spans="1:81" ht="27" customHeight="1" x14ac:dyDescent="0.2">
      <c r="A54" s="15">
        <v>566381</v>
      </c>
      <c r="B54" s="8" t="s">
        <v>96</v>
      </c>
      <c r="C54" s="9" t="s">
        <v>97</v>
      </c>
      <c r="D54" s="9" t="s">
        <v>98</v>
      </c>
      <c r="E54" s="14"/>
      <c r="F54" s="10">
        <v>1000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0">
        <v>3000</v>
      </c>
      <c r="Z54" s="14"/>
      <c r="AA54" s="10">
        <v>1600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0">
        <v>2000</v>
      </c>
      <c r="AO54" s="14"/>
      <c r="AP54" s="10">
        <v>400</v>
      </c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 t="e">
        <f>VLOOKUP(#REF!,[1]PrO!A:B,2,0)</f>
        <v>#REF!</v>
      </c>
    </row>
    <row r="55" spans="1:81" ht="27" customHeight="1" x14ac:dyDescent="0.2">
      <c r="A55" s="7">
        <v>16355474</v>
      </c>
      <c r="B55" s="8" t="s">
        <v>203</v>
      </c>
      <c r="C55" s="9" t="s">
        <v>204</v>
      </c>
      <c r="D55" s="9" t="s">
        <v>205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0">
        <v>1000</v>
      </c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 t="e">
        <f>VLOOKUP(#REF!,[1]PrO!A:B,2,0)</f>
        <v>#REF!</v>
      </c>
    </row>
    <row r="56" spans="1:81" ht="27" customHeight="1" x14ac:dyDescent="0.2">
      <c r="A56" s="15">
        <v>212920</v>
      </c>
      <c r="B56" s="8" t="s">
        <v>87</v>
      </c>
      <c r="C56" s="9" t="s">
        <v>88</v>
      </c>
      <c r="D56" s="9" t="s">
        <v>89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0">
        <v>3800</v>
      </c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 t="e">
        <f>VLOOKUP(#REF!,[1]PrO!A:B,2,0)</f>
        <v>#REF!</v>
      </c>
    </row>
    <row r="57" spans="1:81" ht="49.5" customHeight="1" x14ac:dyDescent="0.2">
      <c r="A57" s="7">
        <v>60555980</v>
      </c>
      <c r="B57" s="8" t="s">
        <v>138</v>
      </c>
      <c r="C57" s="9" t="s">
        <v>139</v>
      </c>
      <c r="D57" s="9" t="s">
        <v>137</v>
      </c>
      <c r="E57" s="14"/>
      <c r="F57" s="14"/>
      <c r="G57" s="14"/>
      <c r="H57" s="10">
        <v>30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0">
        <v>30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0">
        <v>30</v>
      </c>
      <c r="AS57" s="14"/>
      <c r="AT57" s="14"/>
      <c r="AU57" s="14"/>
      <c r="AV57" s="14"/>
      <c r="AW57" s="14"/>
      <c r="AX57" s="10">
        <v>30</v>
      </c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 t="e">
        <f>VLOOKUP(#REF!,[1]PrO!A:B,2,0)</f>
        <v>#REF!</v>
      </c>
    </row>
    <row r="58" spans="1:81" ht="27" customHeight="1" x14ac:dyDescent="0.2">
      <c r="A58" s="7">
        <v>70285314</v>
      </c>
      <c r="B58" s="8" t="s">
        <v>93</v>
      </c>
      <c r="C58" s="9" t="s">
        <v>94</v>
      </c>
      <c r="D58" s="9" t="s">
        <v>95</v>
      </c>
      <c r="E58" s="14"/>
      <c r="F58" s="14"/>
      <c r="G58" s="14"/>
      <c r="H58" s="14"/>
      <c r="I58" s="10">
        <v>1500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0">
        <v>400</v>
      </c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0">
        <v>100</v>
      </c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 t="e">
        <f>VLOOKUP(#REF!,[1]PrO!A:B,2,0)</f>
        <v>#REF!</v>
      </c>
    </row>
    <row r="59" spans="1:81" ht="27" customHeight="1" x14ac:dyDescent="0.2">
      <c r="A59" s="15">
        <v>4150015</v>
      </c>
      <c r="B59" s="8" t="s">
        <v>250</v>
      </c>
      <c r="C59" s="9" t="s">
        <v>251</v>
      </c>
      <c r="D59" s="9" t="s">
        <v>252</v>
      </c>
      <c r="E59" s="10"/>
      <c r="F59" s="10"/>
      <c r="G59" s="10"/>
      <c r="H59" s="10">
        <v>1800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>
        <v>3000</v>
      </c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>
        <v>8</v>
      </c>
      <c r="BW59" s="10"/>
      <c r="BX59" s="10"/>
      <c r="BY59" s="10"/>
      <c r="BZ59" s="10"/>
      <c r="CA59" s="10"/>
      <c r="CB59" s="10"/>
      <c r="CC59" s="14" t="e">
        <f>VLOOKUP(#REF!,[1]PrO!A:B,2,0)</f>
        <v>#REF!</v>
      </c>
    </row>
    <row r="60" spans="1:81" ht="27" customHeight="1" x14ac:dyDescent="0.2">
      <c r="A60" s="15">
        <v>53198</v>
      </c>
      <c r="B60" s="8" t="s">
        <v>221</v>
      </c>
      <c r="C60" s="9" t="s">
        <v>222</v>
      </c>
      <c r="D60" s="9" t="s">
        <v>223</v>
      </c>
      <c r="E60" s="10"/>
      <c r="F60" s="10"/>
      <c r="G60" s="10">
        <v>10</v>
      </c>
      <c r="H60" s="10">
        <v>10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v>10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4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>
        <v>20</v>
      </c>
      <c r="BH60" s="10"/>
      <c r="BI60" s="10"/>
      <c r="BJ60" s="10"/>
      <c r="BK60" s="10"/>
      <c r="BL60" s="10"/>
      <c r="BM60" s="10"/>
      <c r="BN60" s="10"/>
      <c r="BO60" s="10"/>
      <c r="BP60" s="10"/>
      <c r="BQ60" s="10">
        <v>10</v>
      </c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4" t="e">
        <f>VLOOKUP(#REF!,[1]PrO!A:B,2,0)</f>
        <v>#REF!</v>
      </c>
    </row>
    <row r="61" spans="1:81" ht="27" customHeight="1" x14ac:dyDescent="0.2">
      <c r="A61" s="7">
        <v>70932581</v>
      </c>
      <c r="B61" s="8" t="s">
        <v>99</v>
      </c>
      <c r="C61" s="9" t="s">
        <v>100</v>
      </c>
      <c r="D61" s="9" t="s">
        <v>101</v>
      </c>
      <c r="E61" s="10"/>
      <c r="F61" s="10"/>
      <c r="G61" s="10"/>
      <c r="H61" s="10"/>
      <c r="I61" s="10">
        <v>300</v>
      </c>
      <c r="J61" s="10"/>
      <c r="K61" s="10">
        <v>3000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>
        <v>300</v>
      </c>
      <c r="Y61" s="10"/>
      <c r="Z61" s="10">
        <v>200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>
        <v>3050</v>
      </c>
      <c r="AS61" s="10"/>
      <c r="AT61" s="10">
        <v>25</v>
      </c>
      <c r="AU61" s="10"/>
      <c r="AV61" s="10"/>
      <c r="AW61" s="10"/>
      <c r="AX61" s="10">
        <v>800</v>
      </c>
      <c r="AY61" s="10"/>
      <c r="AZ61" s="10"/>
      <c r="BA61" s="10"/>
      <c r="BB61" s="10"/>
      <c r="BC61" s="10">
        <v>200</v>
      </c>
      <c r="BD61" s="10"/>
      <c r="BE61" s="10"/>
      <c r="BF61" s="10"/>
      <c r="BG61" s="10"/>
      <c r="BH61" s="10">
        <v>250</v>
      </c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4" t="e">
        <f>VLOOKUP(#REF!,[1]PrO!A:B,2,0)</f>
        <v>#REF!</v>
      </c>
    </row>
    <row r="62" spans="1:81" ht="25.5" customHeight="1" x14ac:dyDescent="0.2">
      <c r="A62" s="21"/>
      <c r="B62" s="25"/>
      <c r="C62" s="26"/>
      <c r="D62" s="26"/>
      <c r="E62" s="27">
        <f>SUBTOTAL(109,Form_Responses13[Pytle odpadní, HDPE, vel. 49 x 60cm, minimální síla 15µ, barva černá (cca 30 - 35l)])</f>
        <v>19920</v>
      </c>
      <c r="F62" s="27">
        <f>SUBTOTAL(109,Form_Responses13[Pytle odpadní, HDPE, vel. 49 x 60cm, minimální síla 15µ, barva bílá  (cca 30 - 35l), ])</f>
        <v>19000</v>
      </c>
      <c r="G62" s="27">
        <f>SUBTOTAL(109,Form_Responses13[Pytle odpadní, HDPE, vel. 49 x 60cm, minimální síla 20µ , barva žlutá  (cca 30 - 35l)])</f>
        <v>2160</v>
      </c>
      <c r="H62" s="27">
        <f>SUBTOTAL(109,Form_Responses13[Pytle odpadní, LDPE, vel. 50 x 60cm, minimální síla 40µ, barva černá (cca 35l)])</f>
        <v>55090</v>
      </c>
      <c r="I62" s="27">
        <f>SUBTOTAL(109,Form_Responses13[Pytle odpadní, HDPE, vel. 50 x 60cm, minimální síla 20µ, barva černá (cca 35l) ])</f>
        <v>35300</v>
      </c>
      <c r="J62" s="27">
        <f>SUBTOTAL(109,Form_Responses13[Pytle odpadní, HDPE, vel. 50 x 60cm, minimální síla 20µ, barva bílá  (cca 35l), ])</f>
        <v>14100</v>
      </c>
      <c r="K62" s="27">
        <f>SUBTOTAL(109,Form_Responses13[Pytle odpadní, LDPE, vel. 50 x 60cm, minimální síla 50µ, barva černá  (cca 35l)])</f>
        <v>43800</v>
      </c>
      <c r="L62" s="27">
        <f>SUBTOTAL(109,Form_Responses13[Pytle odpadní, LDPE, vel. 50 x 60cm, minimální síla 50µ, barva červená  (cca 35l)])</f>
        <v>4500</v>
      </c>
      <c r="M62" s="27">
        <f>SUBTOTAL(109,Form_Responses13[Pytle odpadní, LDPE, vel. 50 x 60cm, minimální síla 60µ, barva černá  (cca 35l)])</f>
        <v>3500</v>
      </c>
      <c r="N62" s="27">
        <f>SUBTOTAL(109,Form_Responses13[Pytle odpadní, LDPE, vel. 50 x 60cm, minimální síla 60µ, barva červená  (cca 35l)])</f>
        <v>500</v>
      </c>
      <c r="O62" s="27">
        <f>SUBTOTAL(109,Form_Responses13[Pytle odpadní, LDPE, vel. 50 x 60cm, minimální síla 200µ, barva černá (cca 35l)])</f>
        <v>500</v>
      </c>
      <c r="P62" s="27">
        <f>SUBTOTAL(109,Form_Responses13[Pytle odpadní, LDPE, vel. 55 x 60cm, minimální síla 60µ, barva černá (cca 40l)])</f>
        <v>800</v>
      </c>
      <c r="Q62" s="27">
        <f>SUBTOTAL(109,Form_Responses13[Pytle odpadní, LDPE, 55 x 100cm, minimální síla 60µ, barva černá  (cca 80l)])</f>
        <v>1100</v>
      </c>
      <c r="R62" s="27">
        <f>SUBTOTAL(109,Form_Responses13[Pytle odpadní, LDPE, 55 x 100cm, minimální síla 60µ, barva červená  (cca 80l)])</f>
        <v>0</v>
      </c>
      <c r="S62" s="27">
        <f>SUBTOTAL(109,Form_Responses13[Pytle odpadní, LDPE, 55 x 100cm, minimální síla 60µ, barva žlutá (cca 80l)])</f>
        <v>0</v>
      </c>
      <c r="T62" s="27">
        <f>SUBTOTAL(109,Form_Responses13[Pytle odpadní, LDPE, vel. 55 x 100cm, minimální síla 80µ, barva černá (cca 80l)])</f>
        <v>800</v>
      </c>
      <c r="U62" s="27">
        <f>SUBTOTAL(109,Form_Responses13[Pytle odpadní, LDPE, vel. 55 x 100cm, minimální síla 80µ, barva červená (cca 80l)])</f>
        <v>0</v>
      </c>
      <c r="V62" s="27">
        <f>SUBTOTAL(109,Form_Responses13[Pytle odpadní, HDPE, 60 x 50cm, minimální síla 20µ, barva zelená (cca 30l)])</f>
        <v>0</v>
      </c>
      <c r="W62" s="27">
        <f>SUBTOTAL(109,Form_Responses13[Pytle odpadní, HDPE, 60 x 70cm, minimální síla 20µ, barva modrá (cca 60l)])</f>
        <v>1310</v>
      </c>
      <c r="X62" s="27">
        <f>SUBTOTAL(109,Form_Responses13[Pytle odpadní, HDPE, 60 x 80cm, minimální síla 15µ, barva černá (cca 60l)])</f>
        <v>24180</v>
      </c>
      <c r="Y62" s="27">
        <f>SUBTOTAL(109,Form_Responses13[Pytle odpadní, HDPE, 60 x 80cm, minimální síla 15µ, barva transparentní (cca 60l)])</f>
        <v>9000</v>
      </c>
      <c r="Z62" s="27">
        <f>SUBTOTAL(109,Form_Responses13[Pytle odpadní, LDPE, 60 x 80cm, minimální síla 35µ, barva černá (cca 60l)])</f>
        <v>17740</v>
      </c>
      <c r="AA62" s="27">
        <f>SUBTOTAL(109,Form_Responses13[Pytle odpadní, HDPE, vel. 63 x 85cm, minimální 15µ, barva bílá (cca 72l)])</f>
        <v>29450</v>
      </c>
      <c r="AB62" s="27">
        <f>SUBTOTAL(109,Form_Responses13[Pytle odpadní, HDPE, vel. 63 x 85cm, minimální 15µ, barva transparentní  (cca 72l)])</f>
        <v>0</v>
      </c>
      <c r="AC62" s="27">
        <f>SUBTOTAL(109,Form_Responses13[Pytle odpadní, HDPE, vel. 64 x 71cm, síla 20µ, barva  černá (cca 60l)])</f>
        <v>8450</v>
      </c>
      <c r="AD62" s="27">
        <f>SUBTOTAL(109,Form_Responses13[Pytle odpadní, LDPE,vel.  65 x 78cm, síla 60µ, barva černá (cca 60l)])</f>
        <v>5300</v>
      </c>
      <c r="AE62" s="27">
        <f>SUBTOTAL(109,Form_Responses13[Pytle odpadní, zatahovací, LDPE, vel. 70 x 100cm, síla 50µ, barva modrá (cca 110l)])</f>
        <v>4800</v>
      </c>
      <c r="AF62" s="27">
        <f>SUBTOTAL(109,Form_Responses13[Pytle odpadní, LDPE, vel. 70 x 110cm, síla 40µ, barva černá  (cca 110l)])</f>
        <v>1600</v>
      </c>
      <c r="AG62" s="27">
        <f>SUBTOTAL(109,Form_Responses13[Pytle odpadní, LDPE, vel. 70 x 110cm, síla 40µ, barva transparentní, (cca 110l)])</f>
        <v>5000</v>
      </c>
      <c r="AH62" s="27">
        <f>SUBTOTAL(109,Form_Responses13[Pytle odpadní, LDPE, vel. 70 x 110cm, síla 40µ, barva modrá  (cca 110l)])</f>
        <v>1350</v>
      </c>
      <c r="AI62" s="27">
        <f>SUBTOTAL(109,Form_Responses13[Pytle odpadní, LDPE, vel. 70 x 110cm, síla 40µ, barva červená (cca 110l)])</f>
        <v>300</v>
      </c>
      <c r="AJ62" s="27">
        <f>SUBTOTAL(109,Form_Responses13[Pytle odpadní, LDPE, vel. 70 x 110cm, síla 40µ, barva žlutá (cca 110l)])</f>
        <v>0</v>
      </c>
      <c r="AK62" s="27">
        <f>SUBTOTAL(109,Form_Responses13[Pytle odpadní, LDPE, vel. 70 x 110cm, síla 40µ, barva zelená (cca 110l)])</f>
        <v>500</v>
      </c>
      <c r="AL62" s="27">
        <f>SUBTOTAL(109,Form_Responses13[Pytle odpadní, LDPE, vel. 70 x 110cm, síla 60µ, barva černá (cca 110l)])</f>
        <v>24030</v>
      </c>
      <c r="AM62" s="27">
        <f>SUBTOTAL(109,Form_Responses13[Pytle odpadní, LDPE, vel. 70 x 110cm, síla 60µ, barva transparentní (cca 110l)])</f>
        <v>31150</v>
      </c>
      <c r="AN62" s="27">
        <f>SUBTOTAL(109,Form_Responses13[Pytle odpadní, LDPE, vel. 70 x 110cm, síla 60µ, barva modrá (cca 110l)])</f>
        <v>25450</v>
      </c>
      <c r="AO62" s="27">
        <f>SUBTOTAL(109,Form_Responses13[Pytle odpadní, LDPE, vel. 70 x 110cm, síla 60µ, barva červená (cca 110l)])</f>
        <v>31000</v>
      </c>
      <c r="AP62" s="27">
        <f>SUBTOTAL(109,Form_Responses13[Pytle odpadní, LDPE, vel. 70 x 110cm, síla 60µ, barva žlutá (cca 110l)])</f>
        <v>11800</v>
      </c>
      <c r="AQ62" s="27">
        <f>SUBTOTAL(109,Form_Responses13[Pytle odpadní, LDPE, vel. 70 x 110cm, síla 60µ, barva zelená (cca 110l)])</f>
        <v>29500</v>
      </c>
      <c r="AR62" s="27">
        <f>SUBTOTAL(109,Form_Responses13[Pytle odpadní, LDPE, vel. 70 x 110cm, minimální síla 80µ, barva černá (cca 110l)])</f>
        <v>28630</v>
      </c>
      <c r="AS62" s="27">
        <f>SUBTOTAL(109,Form_Responses13[Pytle odpadní, LDPE, vel. 70 x 110cm, minimální síla 80µ, barva transparentní (cca 110l)])</f>
        <v>4500</v>
      </c>
      <c r="AT62" s="27">
        <f>SUBTOTAL(109,Form_Responses13[Pytle odpadní, LDPE, vel. 70 x 110cm, minimální síla 80µ, barva modrá (cca 110l)])</f>
        <v>12175</v>
      </c>
      <c r="AU62" s="27">
        <f>SUBTOTAL(109,Form_Responses13[Pytle odpadní, LDPE, vel. 70 x 110cm, minimální síla 80µ, barva červená (cca 110l)])</f>
        <v>3450</v>
      </c>
      <c r="AV62" s="27">
        <f>SUBTOTAL(109,Form_Responses13[Pytle odpadní, LDPE, vel. 70 x 110cm, minimální síla 80µ, barva žlutá (cca 110l)])</f>
        <v>3550</v>
      </c>
      <c r="AW62" s="27">
        <f>SUBTOTAL(109,Form_Responses13[Pytle odpadní, LDPE, vel. 70 x 110cm, minimální síla 80µ, barva zelená (cca 110l)])</f>
        <v>1300</v>
      </c>
      <c r="AX62" s="27">
        <f>SUBTOTAL(109,Form_Responses13[Pytle odpadní, LDPE, vel. 70 x 110cm, minimální síla 100µ, barva černá (cca 110l)])</f>
        <v>13580</v>
      </c>
      <c r="AY62" s="27">
        <f>SUBTOTAL(109,Form_Responses13[Pytle odpadní, LDPE, vel. 70 x 110cm, minimální síla 100µ, barva modrá (cca 110l)])</f>
        <v>12850</v>
      </c>
      <c r="AZ62" s="27">
        <f>SUBTOTAL(109,Form_Responses13[Pytle odpadní, LDPE, vel. 70 x 110cm, minimální síla 100µ, barva červená (cca 110l)])</f>
        <v>0</v>
      </c>
      <c r="BA62" s="27">
        <f>SUBTOTAL(109,Form_Responses13[Pytle odpadní, LDPE, vel. 70 x 110cm, minimální síla 100µ, barva žlutá (cca 110l)])</f>
        <v>6050</v>
      </c>
      <c r="BB62" s="27">
        <f>SUBTOTAL(109,Form_Responses13[Pytle odpadní, LDPE, vel. 70 x 110cm, minimální síla 180µ, barva černá (cca 110l)])</f>
        <v>100</v>
      </c>
      <c r="BC62" s="27">
        <f>SUBTOTAL(109,Form_Responses13[Pytle odpadní, LDPE, vel. 70 x 110cm, minimální síla 200µ, barva černá (cca 110l)])</f>
        <v>340</v>
      </c>
      <c r="BD62" s="27">
        <f>SUBTOTAL(109,Form_Responses13[Pytle odpadní, LDPE, vel. 70 x 110cm, minimální síla 200µ, barva žlutá (cca 110l)])</f>
        <v>0</v>
      </c>
      <c r="BE62" s="27">
        <f>SUBTOTAL(109,Form_Responses13[Pytle odpadní - BIOODPAD s potiskem, LDPE, vel. 70 x 110cm, minimální síla 100µ, barva červená (cca 110l)])</f>
        <v>2000</v>
      </c>
      <c r="BF62" s="27">
        <f>SUBTOTAL(109,Form_Responses13[Pytle odpadní, LDPE, vel. 70 x 120cm, minimální síla 100µ, barva modrá (cca 120l)])</f>
        <v>1200</v>
      </c>
      <c r="BG62" s="27">
        <f>SUBTOTAL(109,Form_Responses13[Pytle odpadní, LDPE, vel. 70 x 120cm, minimální síla 100µ, barva černá (cca 120l)])</f>
        <v>4170</v>
      </c>
      <c r="BH62" s="27">
        <f>SUBTOTAL(109,Form_Responses13[Pytle odpadní, LDPE, vel. 80 x 120cm, minimální síla 100µ, barva transparentní (cca 130l)])</f>
        <v>850</v>
      </c>
      <c r="BI62" s="27">
        <f>SUBTOTAL(109,Form_Responses13[Pytle odpadní, HDPE, vel. 85 x 63cm, minimální síla 20µ, barva bílá (cca 72l)])</f>
        <v>8500</v>
      </c>
      <c r="BJ62" s="27">
        <f>SUBTOTAL(109,Form_Responses13[Pytle odpadní, LDPE, vel. 100 x 120cm, minimální síla 80µ, barva černá (cca 240 l)])</f>
        <v>1050</v>
      </c>
      <c r="BK62" s="27">
        <f>SUBTOTAL(109,Form_Responses13[Sáčky transparentní, HDPE, vel. 16 x 24cm, minimální síla 8µ])</f>
        <v>6000</v>
      </c>
      <c r="BL62" s="27">
        <f>SUBTOTAL(109,Form_Responses13[Sáčky transparentní, HDPE, vel. 20 x 30cm, minimální síla 10µ])</f>
        <v>400</v>
      </c>
      <c r="BM62" s="27">
        <f>SUBTOTAL(109,Form_Responses13[Sáčky transparentní, HDPE, vel. 20 x 30cm, minimální síla 12µ])</f>
        <v>20300</v>
      </c>
      <c r="BN62" s="27">
        <f>SUBTOTAL(109,Form_Responses13[Sáčky transparentní, HDPE, vel. 20 x 30cm, minimální síla 12µ - boční sklad])</f>
        <v>15000</v>
      </c>
      <c r="BO62" s="27">
        <f>SUBTOTAL(109,Form_Responses13[Sáčky transparentní, HDPE, vel. 25 x 35cm, minimální síla 9µ])</f>
        <v>25400</v>
      </c>
      <c r="BP62" s="27">
        <f>SUBTOTAL(109,Form_Responses13[Sáčky transparentní, HDPE, vel. 25 x 35cm, minimální síla 9µ - boční sklad])</f>
        <v>0</v>
      </c>
      <c r="BQ62" s="27">
        <f>SUBTOTAL(109,Form_Responses13[Sáčky transparentní, HDPE, vel. 25 x 35cm (využitelná výška), minimální síla 9µ - s "ušima"])</f>
        <v>20510</v>
      </c>
      <c r="BR62" s="27">
        <f>SUBTOTAL(109,Form_Responses13[Sáčky transparentní, HDPE, vel. 25 x 35cm, minimální síla 20µ ])</f>
        <v>21100</v>
      </c>
      <c r="BS62" s="27">
        <f>SUBTOTAL(109,Form_Responses13[Sáčky transparentní, HDPE, vel. 45 x 30cm, minimální síla 20µ])</f>
        <v>1600</v>
      </c>
      <c r="BT62" s="27">
        <f>SUBTOTAL(109,Form_Responses13[Pytle potravinářské transparentní, LDPE, vel. 70 x 110cm, minimální síla 60µ])</f>
        <v>750</v>
      </c>
      <c r="BU62" s="27">
        <f>SUBTOTAL(109,Form_Responses13[Fólie potravinářské transparentní, LDPE, vel. 30 x 30000cm, minimální síla 9µ])</f>
        <v>92</v>
      </c>
      <c r="BV62" s="27">
        <f>SUBTOTAL(109,Form_Responses13[Fólie potravinářské transparentní, LDPE, vel. 45 x 30000cm, minimální síla 12µ])</f>
        <v>167</v>
      </c>
      <c r="BW62" s="27">
        <f>SUBTOTAL(109,Form_Responses13[Přířezy skládané transparentní, HDPE, vel. 50 x 70cm, minimální síla 6µ])</f>
        <v>13500</v>
      </c>
      <c r="BX62" s="27">
        <f>SUBTOTAL(109,Form_Responses13[Mikroténová taška bílá, LDPE, vel. 30 x 54cm, minimální síla 100µ])</f>
        <v>4500</v>
      </c>
      <c r="BY62" s="27">
        <f>SUBTOTAL(109,Form_Responses13[Zavírací páska transparentní, PP, vel. 4,8 x 6600 cm, minimální síla 43µ])</f>
        <v>0</v>
      </c>
      <c r="BZ62" s="27">
        <f>SUBTOTAL(109,Form_Responses13[Pytle odpadní, HDPE, 60 x 80 cm, minimální síla 20 µ, barva transparentní])</f>
        <v>0</v>
      </c>
      <c r="CA62" s="27">
        <f>SUBTOTAL(109,Form_Responses13[Pytle odpadní, LDPE, vel. 60 x 80 cm, minimální síla 40µ, barva žlutá])</f>
        <v>4000</v>
      </c>
      <c r="CB62" s="27">
        <f>SUBTOTAL(109,Form_Responses13[Pytle odpadní, LDPE, vel. 50 x 60 cm, minimální síla 40µ, barva žlutá])</f>
        <v>4000</v>
      </c>
      <c r="CC62" s="27"/>
    </row>
  </sheetData>
  <conditionalFormatting sqref="A2:A61">
    <cfRule type="duplicateValues" dxfId="162" priority="1"/>
  </conditionalFormatting>
  <conditionalFormatting sqref="E2:CB61">
    <cfRule type="cellIs" dxfId="161" priority="2" operator="equal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2024-11-14T06:52:54Z</dcterms:created>
  <dcterms:modified xsi:type="dcterms:W3CDTF">2024-11-28T12:27:06Z</dcterms:modified>
</cp:coreProperties>
</file>