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ad výkresy\Strelice\Novy Pavilon - podkrovi\vyberko\"/>
    </mc:Choice>
  </mc:AlternateContent>
  <xr:revisionPtr revIDLastSave="0" documentId="13_ncr:1_{A4BEA907-60E8-494C-82CA-0560B6FB1404}" xr6:coauthVersionLast="47" xr6:coauthVersionMax="47" xr10:uidLastSave="{00000000-0000-0000-0000-000000000000}"/>
  <workbookProtection workbookAlgorithmName="SHA-512" workbookHashValue="0m3CTt7rxmjEdvJ3wot6DJvVDcmrN1LtvwCH6HLOwvfEDsv3kROWLHTJpd7NKjIPkn1iBJL40/+srWU29VI9mw==" workbookSaltValue="Unoo0y+Eq8L5SQacfN3Gfw==" workbookSpinCount="100000" lockStructure="1"/>
  <bookViews>
    <workbookView xWindow="3045" yWindow="1185" windowWidth="21675" windowHeight="15015" activeTab="1" xr2:uid="{00000000-000D-0000-FFFF-FFFF00000000}"/>
  </bookViews>
  <sheets>
    <sheet name="Krycí list rozpočtu" sheetId="4" r:id="rId1"/>
    <sheet name="Stavební rozpočet" sheetId="1" r:id="rId2"/>
    <sheet name="Stavební rozpočet - součet" sheetId="2" r:id="rId3"/>
    <sheet name="Výkaz výměr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F8" i="4"/>
  <c r="C10" i="4"/>
  <c r="F10" i="4"/>
  <c r="I10" i="4"/>
  <c r="C14" i="4"/>
  <c r="C15" i="4"/>
  <c r="C16" i="4"/>
  <c r="C17" i="4"/>
  <c r="C18" i="4"/>
  <c r="C19" i="4"/>
  <c r="C20" i="4"/>
  <c r="C21" i="4"/>
  <c r="C22" i="4"/>
  <c r="F22" i="4"/>
  <c r="I22" i="4"/>
  <c r="C28" i="4" s="1"/>
  <c r="C27" i="4"/>
  <c r="C29" i="4"/>
  <c r="F29" i="4"/>
  <c r="J12" i="1"/>
  <c r="K12" i="1"/>
  <c r="L12" i="1"/>
  <c r="AS12" i="1"/>
  <c r="AT12" i="1"/>
  <c r="AU12" i="1"/>
  <c r="J13" i="1"/>
  <c r="K13" i="1"/>
  <c r="L13" i="1"/>
  <c r="Z13" i="1"/>
  <c r="AB13" i="1"/>
  <c r="AC13" i="1"/>
  <c r="AD13" i="1"/>
  <c r="AE13" i="1"/>
  <c r="AF13" i="1"/>
  <c r="AG13" i="1"/>
  <c r="AH13" i="1"/>
  <c r="AJ13" i="1"/>
  <c r="AK13" i="1"/>
  <c r="AL13" i="1"/>
  <c r="AO13" i="1"/>
  <c r="AP13" i="1"/>
  <c r="AV13" i="1"/>
  <c r="AW13" i="1"/>
  <c r="AX13" i="1"/>
  <c r="BC13" i="1"/>
  <c r="BD13" i="1"/>
  <c r="BF13" i="1"/>
  <c r="BH13" i="1"/>
  <c r="BI13" i="1"/>
  <c r="BJ13" i="1"/>
  <c r="J15" i="1"/>
  <c r="K15" i="1"/>
  <c r="L15" i="1"/>
  <c r="AS15" i="1"/>
  <c r="AT15" i="1"/>
  <c r="AU15" i="1"/>
  <c r="J16" i="1"/>
  <c r="K16" i="1"/>
  <c r="L16" i="1"/>
  <c r="Z16" i="1"/>
  <c r="AB16" i="1"/>
  <c r="AC16" i="1"/>
  <c r="AD16" i="1"/>
  <c r="AE16" i="1"/>
  <c r="AF16" i="1"/>
  <c r="AG16" i="1"/>
  <c r="AH16" i="1"/>
  <c r="AJ16" i="1"/>
  <c r="AK16" i="1"/>
  <c r="AL16" i="1"/>
  <c r="AO16" i="1"/>
  <c r="AP16" i="1"/>
  <c r="AV16" i="1"/>
  <c r="AW16" i="1"/>
  <c r="AX16" i="1"/>
  <c r="BC16" i="1"/>
  <c r="BD16" i="1"/>
  <c r="BF16" i="1"/>
  <c r="BH16" i="1"/>
  <c r="BI16" i="1"/>
  <c r="BJ16" i="1"/>
  <c r="J18" i="1"/>
  <c r="K18" i="1"/>
  <c r="L18" i="1"/>
  <c r="Z18" i="1"/>
  <c r="AB18" i="1"/>
  <c r="AC18" i="1"/>
  <c r="AD18" i="1"/>
  <c r="AE18" i="1"/>
  <c r="AF18" i="1"/>
  <c r="AG18" i="1"/>
  <c r="AH18" i="1"/>
  <c r="AJ18" i="1"/>
  <c r="AK18" i="1"/>
  <c r="AL18" i="1"/>
  <c r="AO18" i="1"/>
  <c r="AP18" i="1"/>
  <c r="AV18" i="1"/>
  <c r="AW18" i="1"/>
  <c r="AX18" i="1"/>
  <c r="BC18" i="1"/>
  <c r="BD18" i="1"/>
  <c r="BF18" i="1"/>
  <c r="BH18" i="1"/>
  <c r="BI18" i="1"/>
  <c r="BJ18" i="1"/>
  <c r="J20" i="1"/>
  <c r="K20" i="1"/>
  <c r="L20" i="1"/>
  <c r="Z20" i="1"/>
  <c r="AB20" i="1"/>
  <c r="AC20" i="1"/>
  <c r="AD20" i="1"/>
  <c r="AE20" i="1"/>
  <c r="AF20" i="1"/>
  <c r="AG20" i="1"/>
  <c r="AH20" i="1"/>
  <c r="AJ20" i="1"/>
  <c r="AK20" i="1"/>
  <c r="AL20" i="1"/>
  <c r="AO20" i="1"/>
  <c r="AP20" i="1"/>
  <c r="AV20" i="1"/>
  <c r="AW20" i="1"/>
  <c r="AX20" i="1"/>
  <c r="BC20" i="1"/>
  <c r="BD20" i="1"/>
  <c r="BF20" i="1"/>
  <c r="BH20" i="1"/>
  <c r="BI20" i="1"/>
  <c r="BJ20" i="1"/>
  <c r="J21" i="1"/>
  <c r="K21" i="1"/>
  <c r="L21" i="1"/>
  <c r="AS21" i="1"/>
  <c r="AT21" i="1"/>
  <c r="AU21" i="1"/>
  <c r="J22" i="1"/>
  <c r="K22" i="1"/>
  <c r="L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J24" i="1"/>
  <c r="K24" i="1"/>
  <c r="L24" i="1"/>
  <c r="AS24" i="1"/>
  <c r="AT24" i="1"/>
  <c r="AU24" i="1"/>
  <c r="J25" i="1"/>
  <c r="K25" i="1"/>
  <c r="L25" i="1"/>
  <c r="Z25" i="1"/>
  <c r="AB25" i="1"/>
  <c r="AC25" i="1"/>
  <c r="AD25" i="1"/>
  <c r="AE25" i="1"/>
  <c r="AF25" i="1"/>
  <c r="AG25" i="1"/>
  <c r="AH25" i="1"/>
  <c r="AJ25" i="1"/>
  <c r="AK25" i="1"/>
  <c r="AL25" i="1"/>
  <c r="AO25" i="1"/>
  <c r="AP25" i="1"/>
  <c r="AV25" i="1"/>
  <c r="AW25" i="1"/>
  <c r="AX25" i="1"/>
  <c r="BC25" i="1"/>
  <c r="BD25" i="1"/>
  <c r="BF25" i="1"/>
  <c r="BH25" i="1"/>
  <c r="BI25" i="1"/>
  <c r="BJ25" i="1"/>
  <c r="J26" i="1"/>
  <c r="K26" i="1"/>
  <c r="L26" i="1"/>
  <c r="AS26" i="1"/>
  <c r="AT26" i="1"/>
  <c r="AU26" i="1"/>
  <c r="J27" i="1"/>
  <c r="K27" i="1"/>
  <c r="L27" i="1"/>
  <c r="Z27" i="1"/>
  <c r="AB27" i="1"/>
  <c r="AC27" i="1"/>
  <c r="AD27" i="1"/>
  <c r="AE27" i="1"/>
  <c r="AF27" i="1"/>
  <c r="AG27" i="1"/>
  <c r="AH27" i="1"/>
  <c r="AJ27" i="1"/>
  <c r="AK27" i="1"/>
  <c r="AL27" i="1"/>
  <c r="AO27" i="1"/>
  <c r="AP27" i="1"/>
  <c r="AV27" i="1"/>
  <c r="AW27" i="1"/>
  <c r="AX27" i="1"/>
  <c r="BC27" i="1"/>
  <c r="BD27" i="1"/>
  <c r="BF27" i="1"/>
  <c r="BH27" i="1"/>
  <c r="BI27" i="1"/>
  <c r="BJ27" i="1"/>
  <c r="J29" i="1"/>
  <c r="K29" i="1"/>
  <c r="L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J31" i="1"/>
  <c r="K31" i="1"/>
  <c r="L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J33" i="1"/>
  <c r="K33" i="1"/>
  <c r="L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AX33" i="1"/>
  <c r="BC33" i="1"/>
  <c r="BD33" i="1"/>
  <c r="BF33" i="1"/>
  <c r="BH33" i="1"/>
  <c r="BI33" i="1"/>
  <c r="BJ33" i="1"/>
  <c r="J35" i="1"/>
  <c r="K35" i="1"/>
  <c r="L35" i="1"/>
  <c r="Z35" i="1"/>
  <c r="AB35" i="1"/>
  <c r="AC35" i="1"/>
  <c r="AD35" i="1"/>
  <c r="AE35" i="1"/>
  <c r="AF35" i="1"/>
  <c r="AG35" i="1"/>
  <c r="AH35" i="1"/>
  <c r="AJ35" i="1"/>
  <c r="AK35" i="1"/>
  <c r="AL35" i="1"/>
  <c r="AO35" i="1"/>
  <c r="AP35" i="1"/>
  <c r="AV35" i="1"/>
  <c r="AW35" i="1"/>
  <c r="AX35" i="1"/>
  <c r="BC35" i="1"/>
  <c r="BD35" i="1"/>
  <c r="BF35" i="1"/>
  <c r="BH35" i="1"/>
  <c r="BI35" i="1"/>
  <c r="BJ35" i="1"/>
  <c r="J37" i="1"/>
  <c r="K37" i="1"/>
  <c r="L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J38" i="1"/>
  <c r="K38" i="1"/>
  <c r="L38" i="1"/>
  <c r="AS38" i="1"/>
  <c r="AT38" i="1"/>
  <c r="AU38" i="1"/>
  <c r="J39" i="1"/>
  <c r="K39" i="1"/>
  <c r="L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J40" i="1"/>
  <c r="K40" i="1"/>
  <c r="L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J42" i="1"/>
  <c r="K42" i="1"/>
  <c r="L42" i="1"/>
  <c r="Z42" i="1"/>
  <c r="AB42" i="1"/>
  <c r="AC42" i="1"/>
  <c r="AD42" i="1"/>
  <c r="AE42" i="1"/>
  <c r="AF42" i="1"/>
  <c r="AG42" i="1"/>
  <c r="AH42" i="1"/>
  <c r="AJ42" i="1"/>
  <c r="AK42" i="1"/>
  <c r="AL42" i="1"/>
  <c r="AO42" i="1"/>
  <c r="AP42" i="1"/>
  <c r="AV42" i="1"/>
  <c r="AW42" i="1"/>
  <c r="AX42" i="1"/>
  <c r="BC42" i="1"/>
  <c r="BD42" i="1"/>
  <c r="BF42" i="1"/>
  <c r="BH42" i="1"/>
  <c r="BI42" i="1"/>
  <c r="BJ42" i="1"/>
  <c r="J44" i="1"/>
  <c r="K44" i="1"/>
  <c r="L44" i="1"/>
  <c r="AS44" i="1"/>
  <c r="AT44" i="1"/>
  <c r="AU44" i="1"/>
  <c r="J45" i="1"/>
  <c r="K45" i="1"/>
  <c r="L45" i="1"/>
  <c r="Z45" i="1"/>
  <c r="AB45" i="1"/>
  <c r="AC45" i="1"/>
  <c r="AD45" i="1"/>
  <c r="AE45" i="1"/>
  <c r="AF45" i="1"/>
  <c r="AG45" i="1"/>
  <c r="AH45" i="1"/>
  <c r="AJ45" i="1"/>
  <c r="AK45" i="1"/>
  <c r="AL45" i="1"/>
  <c r="AO45" i="1"/>
  <c r="AP45" i="1"/>
  <c r="AV45" i="1"/>
  <c r="AW45" i="1"/>
  <c r="AX45" i="1"/>
  <c r="BC45" i="1"/>
  <c r="BD45" i="1"/>
  <c r="BF45" i="1"/>
  <c r="BH45" i="1"/>
  <c r="BI45" i="1"/>
  <c r="BJ45" i="1"/>
  <c r="J46" i="1"/>
  <c r="K46" i="1"/>
  <c r="L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J47" i="1"/>
  <c r="K47" i="1"/>
  <c r="L47" i="1"/>
  <c r="AS47" i="1"/>
  <c r="AT47" i="1"/>
  <c r="AU47" i="1"/>
  <c r="J48" i="1"/>
  <c r="K48" i="1"/>
  <c r="L48" i="1"/>
  <c r="Z48" i="1"/>
  <c r="AB48" i="1"/>
  <c r="AC48" i="1"/>
  <c r="AD48" i="1"/>
  <c r="AE48" i="1"/>
  <c r="AF48" i="1"/>
  <c r="AG48" i="1"/>
  <c r="AH48" i="1"/>
  <c r="AJ48" i="1"/>
  <c r="AK48" i="1"/>
  <c r="AL48" i="1"/>
  <c r="AO48" i="1"/>
  <c r="AP48" i="1"/>
  <c r="AV48" i="1"/>
  <c r="AW48" i="1"/>
  <c r="AX48" i="1"/>
  <c r="BC48" i="1"/>
  <c r="BD48" i="1"/>
  <c r="BF48" i="1"/>
  <c r="BH48" i="1"/>
  <c r="BI48" i="1"/>
  <c r="BJ48" i="1"/>
  <c r="J50" i="1"/>
  <c r="K50" i="1"/>
  <c r="L50" i="1"/>
  <c r="Z50" i="1"/>
  <c r="AB50" i="1"/>
  <c r="AC50" i="1"/>
  <c r="AD50" i="1"/>
  <c r="AE50" i="1"/>
  <c r="AF50" i="1"/>
  <c r="AG50" i="1"/>
  <c r="AH50" i="1"/>
  <c r="AJ50" i="1"/>
  <c r="AK50" i="1"/>
  <c r="AL50" i="1"/>
  <c r="AO50" i="1"/>
  <c r="AP50" i="1"/>
  <c r="AV50" i="1"/>
  <c r="AW50" i="1"/>
  <c r="AX50" i="1"/>
  <c r="BC50" i="1"/>
  <c r="BD50" i="1"/>
  <c r="BF50" i="1"/>
  <c r="BH50" i="1"/>
  <c r="BI50" i="1"/>
  <c r="BJ50" i="1"/>
  <c r="J51" i="1"/>
  <c r="K51" i="1"/>
  <c r="L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J52" i="1"/>
  <c r="K52" i="1"/>
  <c r="L52" i="1"/>
  <c r="AS52" i="1"/>
  <c r="AT52" i="1"/>
  <c r="AU52" i="1"/>
  <c r="J53" i="1"/>
  <c r="K53" i="1"/>
  <c r="L53" i="1"/>
  <c r="Z53" i="1"/>
  <c r="AB53" i="1"/>
  <c r="AC53" i="1"/>
  <c r="AD53" i="1"/>
  <c r="AE53" i="1"/>
  <c r="AF53" i="1"/>
  <c r="AG53" i="1"/>
  <c r="AH53" i="1"/>
  <c r="AJ53" i="1"/>
  <c r="AK53" i="1"/>
  <c r="AL53" i="1"/>
  <c r="AO53" i="1"/>
  <c r="AP53" i="1"/>
  <c r="AV53" i="1"/>
  <c r="AW53" i="1"/>
  <c r="AX53" i="1"/>
  <c r="BC53" i="1"/>
  <c r="BD53" i="1"/>
  <c r="BF53" i="1"/>
  <c r="BH53" i="1"/>
  <c r="BI53" i="1"/>
  <c r="BJ53" i="1"/>
  <c r="J55" i="1"/>
  <c r="K55" i="1"/>
  <c r="L55" i="1"/>
  <c r="AS55" i="1"/>
  <c r="AT55" i="1"/>
  <c r="AU55" i="1"/>
  <c r="J56" i="1"/>
  <c r="K56" i="1"/>
  <c r="L56" i="1"/>
  <c r="Z56" i="1"/>
  <c r="AB56" i="1"/>
  <c r="AC56" i="1"/>
  <c r="AD56" i="1"/>
  <c r="AE56" i="1"/>
  <c r="AF56" i="1"/>
  <c r="AG56" i="1"/>
  <c r="AH56" i="1"/>
  <c r="AJ56" i="1"/>
  <c r="AK56" i="1"/>
  <c r="AL56" i="1"/>
  <c r="AO56" i="1"/>
  <c r="AP56" i="1"/>
  <c r="AV56" i="1"/>
  <c r="AW56" i="1"/>
  <c r="AX56" i="1"/>
  <c r="BC56" i="1"/>
  <c r="BD56" i="1"/>
  <c r="BF56" i="1"/>
  <c r="BH56" i="1"/>
  <c r="BI56" i="1"/>
  <c r="BJ56" i="1"/>
  <c r="J58" i="1"/>
  <c r="K58" i="1"/>
  <c r="L58" i="1"/>
  <c r="Z58" i="1"/>
  <c r="AB58" i="1"/>
  <c r="AC58" i="1"/>
  <c r="AD58" i="1"/>
  <c r="AE58" i="1"/>
  <c r="AF58" i="1"/>
  <c r="AG58" i="1"/>
  <c r="AH58" i="1"/>
  <c r="AJ58" i="1"/>
  <c r="AK58" i="1"/>
  <c r="AL58" i="1"/>
  <c r="AO58" i="1"/>
  <c r="AP58" i="1"/>
  <c r="AV58" i="1"/>
  <c r="AW58" i="1"/>
  <c r="AX58" i="1"/>
  <c r="BC58" i="1"/>
  <c r="BD58" i="1"/>
  <c r="BF58" i="1"/>
  <c r="BH58" i="1"/>
  <c r="BI58" i="1"/>
  <c r="BJ58" i="1"/>
  <c r="J60" i="1"/>
  <c r="K60" i="1"/>
  <c r="L60" i="1"/>
  <c r="AS60" i="1"/>
  <c r="AT60" i="1"/>
  <c r="AU60" i="1"/>
  <c r="J61" i="1"/>
  <c r="K61" i="1"/>
  <c r="L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J63" i="1"/>
  <c r="K63" i="1"/>
  <c r="L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J64" i="1"/>
  <c r="K64" i="1"/>
  <c r="L64" i="1"/>
  <c r="AS64" i="1"/>
  <c r="AT64" i="1"/>
  <c r="AU64" i="1"/>
  <c r="J65" i="1"/>
  <c r="K65" i="1"/>
  <c r="L65" i="1"/>
  <c r="Z65" i="1"/>
  <c r="AB65" i="1"/>
  <c r="AC65" i="1"/>
  <c r="AD65" i="1"/>
  <c r="AE65" i="1"/>
  <c r="AF65" i="1"/>
  <c r="AG65" i="1"/>
  <c r="AH65" i="1"/>
  <c r="AJ65" i="1"/>
  <c r="AK65" i="1"/>
  <c r="AL65" i="1"/>
  <c r="AO65" i="1"/>
  <c r="AP65" i="1"/>
  <c r="AV65" i="1"/>
  <c r="AW65" i="1"/>
  <c r="AX65" i="1"/>
  <c r="BC65" i="1"/>
  <c r="BD65" i="1"/>
  <c r="BF65" i="1"/>
  <c r="BH65" i="1"/>
  <c r="BI65" i="1"/>
  <c r="BJ65" i="1"/>
  <c r="J67" i="1"/>
  <c r="K67" i="1"/>
  <c r="L67" i="1"/>
  <c r="Z67" i="1"/>
  <c r="AB67" i="1"/>
  <c r="AC67" i="1"/>
  <c r="AD67" i="1"/>
  <c r="AE67" i="1"/>
  <c r="AF67" i="1"/>
  <c r="AG67" i="1"/>
  <c r="AH67" i="1"/>
  <c r="AJ67" i="1"/>
  <c r="AK67" i="1"/>
  <c r="AL67" i="1"/>
  <c r="AO67" i="1"/>
  <c r="AP67" i="1"/>
  <c r="AV67" i="1"/>
  <c r="AW67" i="1"/>
  <c r="AX67" i="1"/>
  <c r="BC67" i="1"/>
  <c r="BD67" i="1"/>
  <c r="BF67" i="1"/>
  <c r="BH67" i="1"/>
  <c r="BI67" i="1"/>
  <c r="BJ67" i="1"/>
  <c r="J69" i="1"/>
  <c r="K69" i="1"/>
  <c r="L69" i="1"/>
  <c r="AS69" i="1"/>
  <c r="AT69" i="1"/>
  <c r="AU69" i="1"/>
  <c r="J70" i="1"/>
  <c r="K70" i="1"/>
  <c r="L70" i="1"/>
  <c r="Z70" i="1"/>
  <c r="AB70" i="1"/>
  <c r="AC70" i="1"/>
  <c r="AD70" i="1"/>
  <c r="AE70" i="1"/>
  <c r="AF70" i="1"/>
  <c r="AG70" i="1"/>
  <c r="AH70" i="1"/>
  <c r="AJ70" i="1"/>
  <c r="AK70" i="1"/>
  <c r="AL70" i="1"/>
  <c r="AO70" i="1"/>
  <c r="AP70" i="1"/>
  <c r="AV70" i="1"/>
  <c r="AW70" i="1"/>
  <c r="AX70" i="1"/>
  <c r="BC70" i="1"/>
  <c r="BD70" i="1"/>
  <c r="BF70" i="1"/>
  <c r="BH70" i="1"/>
  <c r="BI70" i="1"/>
  <c r="BJ70" i="1"/>
  <c r="J71" i="1"/>
  <c r="K71" i="1"/>
  <c r="L71" i="1"/>
  <c r="AS71" i="1"/>
  <c r="AT71" i="1"/>
  <c r="AU71" i="1"/>
  <c r="J72" i="1"/>
  <c r="K72" i="1"/>
  <c r="L72" i="1"/>
  <c r="Z72" i="1"/>
  <c r="AB72" i="1"/>
  <c r="AC72" i="1"/>
  <c r="AD72" i="1"/>
  <c r="AE72" i="1"/>
  <c r="AF72" i="1"/>
  <c r="AG72" i="1"/>
  <c r="AH72" i="1"/>
  <c r="AJ72" i="1"/>
  <c r="AK72" i="1"/>
  <c r="AL72" i="1"/>
  <c r="AO72" i="1"/>
  <c r="AP72" i="1"/>
  <c r="AV72" i="1"/>
  <c r="AW72" i="1"/>
  <c r="AX72" i="1"/>
  <c r="BC72" i="1"/>
  <c r="BD72" i="1"/>
  <c r="BF72" i="1"/>
  <c r="BH72" i="1"/>
  <c r="BI72" i="1"/>
  <c r="BJ72" i="1"/>
  <c r="J74" i="1"/>
  <c r="K74" i="1"/>
  <c r="L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J75" i="1"/>
  <c r="K75" i="1"/>
  <c r="L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J77" i="1"/>
  <c r="K77" i="1"/>
  <c r="L77" i="1"/>
  <c r="AS77" i="1"/>
  <c r="AT77" i="1"/>
  <c r="AU77" i="1"/>
  <c r="J78" i="1"/>
  <c r="K78" i="1"/>
  <c r="L78" i="1"/>
  <c r="Z78" i="1"/>
  <c r="AB78" i="1"/>
  <c r="AC78" i="1"/>
  <c r="AD78" i="1"/>
  <c r="AE78" i="1"/>
  <c r="AF78" i="1"/>
  <c r="AG78" i="1"/>
  <c r="AH78" i="1"/>
  <c r="AJ78" i="1"/>
  <c r="AK78" i="1"/>
  <c r="AL78" i="1"/>
  <c r="AO78" i="1"/>
  <c r="AP78" i="1"/>
  <c r="AV78" i="1"/>
  <c r="AW78" i="1"/>
  <c r="AX78" i="1"/>
  <c r="BC78" i="1"/>
  <c r="BD78" i="1"/>
  <c r="BF78" i="1"/>
  <c r="BH78" i="1"/>
  <c r="BI78" i="1"/>
  <c r="BJ78" i="1"/>
  <c r="J79" i="1"/>
  <c r="K79" i="1"/>
  <c r="L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J80" i="1"/>
  <c r="K80" i="1"/>
  <c r="L80" i="1"/>
  <c r="AS80" i="1"/>
  <c r="AT80" i="1"/>
  <c r="AU80" i="1"/>
  <c r="J81" i="1"/>
  <c r="K81" i="1"/>
  <c r="L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J82" i="1"/>
  <c r="K82" i="1"/>
  <c r="L82" i="1"/>
  <c r="AS82" i="1"/>
  <c r="AT82" i="1"/>
  <c r="AU82" i="1"/>
  <c r="J83" i="1"/>
  <c r="K83" i="1"/>
  <c r="L83" i="1"/>
  <c r="Z83" i="1"/>
  <c r="AB83" i="1"/>
  <c r="AC83" i="1"/>
  <c r="AD83" i="1"/>
  <c r="AE83" i="1"/>
  <c r="AF83" i="1"/>
  <c r="AG83" i="1"/>
  <c r="AH83" i="1"/>
  <c r="AJ83" i="1"/>
  <c r="AK83" i="1"/>
  <c r="AL83" i="1"/>
  <c r="AO83" i="1"/>
  <c r="AP83" i="1"/>
  <c r="AV83" i="1"/>
  <c r="AW83" i="1"/>
  <c r="AX83" i="1"/>
  <c r="BC83" i="1"/>
  <c r="BD83" i="1"/>
  <c r="BF83" i="1"/>
  <c r="BH83" i="1"/>
  <c r="BI83" i="1"/>
  <c r="BJ83" i="1"/>
  <c r="J85" i="1"/>
  <c r="K85" i="1"/>
  <c r="L85" i="1"/>
  <c r="AS85" i="1"/>
  <c r="AT85" i="1"/>
  <c r="AU85" i="1"/>
  <c r="J86" i="1"/>
  <c r="K86" i="1"/>
  <c r="L86" i="1"/>
  <c r="Z86" i="1"/>
  <c r="AB86" i="1"/>
  <c r="AC86" i="1"/>
  <c r="AD86" i="1"/>
  <c r="AE86" i="1"/>
  <c r="AF86" i="1"/>
  <c r="AG86" i="1"/>
  <c r="AH86" i="1"/>
  <c r="AJ86" i="1"/>
  <c r="AK86" i="1"/>
  <c r="AL86" i="1"/>
  <c r="AO86" i="1"/>
  <c r="AP86" i="1"/>
  <c r="AV86" i="1"/>
  <c r="AW86" i="1"/>
  <c r="AX86" i="1"/>
  <c r="BC86" i="1"/>
  <c r="BD86" i="1"/>
  <c r="BF86" i="1"/>
  <c r="BH86" i="1"/>
  <c r="BI86" i="1"/>
  <c r="BJ86" i="1"/>
  <c r="J88" i="1"/>
  <c r="K88" i="1"/>
  <c r="L88" i="1"/>
  <c r="AS88" i="1"/>
  <c r="AT88" i="1"/>
  <c r="AU88" i="1"/>
  <c r="J89" i="1"/>
  <c r="K89" i="1"/>
  <c r="L89" i="1"/>
  <c r="Z89" i="1"/>
  <c r="AB89" i="1"/>
  <c r="AC89" i="1"/>
  <c r="AD89" i="1"/>
  <c r="AE89" i="1"/>
  <c r="AF89" i="1"/>
  <c r="AG89" i="1"/>
  <c r="AH89" i="1"/>
  <c r="AJ89" i="1"/>
  <c r="AK89" i="1"/>
  <c r="AL89" i="1"/>
  <c r="AO89" i="1"/>
  <c r="AP89" i="1"/>
  <c r="AV89" i="1"/>
  <c r="AW89" i="1"/>
  <c r="AX89" i="1"/>
  <c r="BC89" i="1"/>
  <c r="BD89" i="1"/>
  <c r="BF89" i="1"/>
  <c r="BH89" i="1"/>
  <c r="BI89" i="1"/>
  <c r="BJ89" i="1"/>
  <c r="J90" i="1"/>
  <c r="K90" i="1"/>
  <c r="L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J92" i="1"/>
  <c r="K92" i="1"/>
  <c r="L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J94" i="1"/>
  <c r="K94" i="1"/>
  <c r="L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J95" i="1"/>
  <c r="K95" i="1"/>
  <c r="L95" i="1"/>
  <c r="AS95" i="1"/>
  <c r="AT95" i="1"/>
  <c r="AU95" i="1"/>
  <c r="J96" i="1"/>
  <c r="K96" i="1"/>
  <c r="L96" i="1"/>
  <c r="Z96" i="1"/>
  <c r="AB96" i="1"/>
  <c r="AC96" i="1"/>
  <c r="AD96" i="1"/>
  <c r="AE96" i="1"/>
  <c r="AF96" i="1"/>
  <c r="AG96" i="1"/>
  <c r="AH96" i="1"/>
  <c r="AJ96" i="1"/>
  <c r="AK96" i="1"/>
  <c r="AL96" i="1"/>
  <c r="AO96" i="1"/>
  <c r="AP96" i="1"/>
  <c r="AV96" i="1"/>
  <c r="AW96" i="1"/>
  <c r="AX96" i="1"/>
  <c r="BC96" i="1"/>
  <c r="BD96" i="1"/>
  <c r="BF96" i="1"/>
  <c r="BH96" i="1"/>
  <c r="BI96" i="1"/>
  <c r="BJ96" i="1"/>
  <c r="J98" i="1"/>
  <c r="K98" i="1"/>
  <c r="L98" i="1"/>
  <c r="Z98" i="1"/>
  <c r="AB98" i="1"/>
  <c r="AC98" i="1"/>
  <c r="AD98" i="1"/>
  <c r="AE98" i="1"/>
  <c r="AF98" i="1"/>
  <c r="AG98" i="1"/>
  <c r="AH98" i="1"/>
  <c r="AJ98" i="1"/>
  <c r="AK98" i="1"/>
  <c r="AL98" i="1"/>
  <c r="AO98" i="1"/>
  <c r="AP98" i="1"/>
  <c r="AV98" i="1"/>
  <c r="AW98" i="1"/>
  <c r="AX98" i="1"/>
  <c r="BC98" i="1"/>
  <c r="BD98" i="1"/>
  <c r="BF98" i="1"/>
  <c r="BH98" i="1"/>
  <c r="BI98" i="1"/>
  <c r="BJ98" i="1"/>
  <c r="J99" i="1"/>
  <c r="K99" i="1"/>
  <c r="L99" i="1"/>
  <c r="AS99" i="1"/>
  <c r="AT99" i="1"/>
  <c r="AU99" i="1"/>
  <c r="J100" i="1"/>
  <c r="K100" i="1"/>
  <c r="L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J102" i="1"/>
  <c r="K102" i="1"/>
  <c r="L102" i="1"/>
  <c r="AS102" i="1"/>
  <c r="AT102" i="1"/>
  <c r="AU102" i="1"/>
  <c r="J103" i="1"/>
  <c r="K103" i="1"/>
  <c r="L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J105" i="1"/>
  <c r="K105" i="1"/>
  <c r="L105" i="1"/>
  <c r="Z105" i="1"/>
  <c r="AB105" i="1"/>
  <c r="AC105" i="1"/>
  <c r="AD105" i="1"/>
  <c r="AE105" i="1"/>
  <c r="AF105" i="1"/>
  <c r="AG105" i="1"/>
  <c r="AH105" i="1"/>
  <c r="AJ105" i="1"/>
  <c r="AK105" i="1"/>
  <c r="AL105" i="1"/>
  <c r="AO105" i="1"/>
  <c r="AP105" i="1"/>
  <c r="AV105" i="1"/>
  <c r="AW105" i="1"/>
  <c r="AX105" i="1"/>
  <c r="BC105" i="1"/>
  <c r="BD105" i="1"/>
  <c r="BF105" i="1"/>
  <c r="BH105" i="1"/>
  <c r="BI105" i="1"/>
  <c r="BJ105" i="1"/>
  <c r="J107" i="1"/>
  <c r="K107" i="1"/>
  <c r="L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J109" i="1"/>
  <c r="K109" i="1"/>
  <c r="L109" i="1"/>
  <c r="Z109" i="1"/>
  <c r="AB109" i="1"/>
  <c r="AC109" i="1"/>
  <c r="AD109" i="1"/>
  <c r="AE109" i="1"/>
  <c r="AF109" i="1"/>
  <c r="AG109" i="1"/>
  <c r="AH109" i="1"/>
  <c r="AJ109" i="1"/>
  <c r="AK109" i="1"/>
  <c r="AL109" i="1"/>
  <c r="AO109" i="1"/>
  <c r="AP109" i="1"/>
  <c r="AV109" i="1"/>
  <c r="AW109" i="1"/>
  <c r="AX109" i="1"/>
  <c r="BC109" i="1"/>
  <c r="BD109" i="1"/>
  <c r="BF109" i="1"/>
  <c r="BH109" i="1"/>
  <c r="BI109" i="1"/>
  <c r="BJ109" i="1"/>
  <c r="J111" i="1"/>
  <c r="K111" i="1"/>
  <c r="L111" i="1"/>
  <c r="Z111" i="1"/>
  <c r="AB111" i="1"/>
  <c r="AC111" i="1"/>
  <c r="AD111" i="1"/>
  <c r="AE111" i="1"/>
  <c r="AF111" i="1"/>
  <c r="AG111" i="1"/>
  <c r="AH111" i="1"/>
  <c r="AJ111" i="1"/>
  <c r="AK111" i="1"/>
  <c r="AL111" i="1"/>
  <c r="AO111" i="1"/>
  <c r="AP111" i="1"/>
  <c r="AV111" i="1"/>
  <c r="AW111" i="1"/>
  <c r="AX111" i="1"/>
  <c r="BC111" i="1"/>
  <c r="BD111" i="1"/>
  <c r="BF111" i="1"/>
  <c r="BH111" i="1"/>
  <c r="BI111" i="1"/>
  <c r="BJ111" i="1"/>
  <c r="J113" i="1"/>
  <c r="K113" i="1"/>
  <c r="L113" i="1"/>
  <c r="Z113" i="1"/>
  <c r="AB113" i="1"/>
  <c r="AC113" i="1"/>
  <c r="AD113" i="1"/>
  <c r="AE113" i="1"/>
  <c r="AF113" i="1"/>
  <c r="AG113" i="1"/>
  <c r="AH113" i="1"/>
  <c r="AJ113" i="1"/>
  <c r="AK113" i="1"/>
  <c r="AL113" i="1"/>
  <c r="AO113" i="1"/>
  <c r="AP113" i="1"/>
  <c r="AV113" i="1"/>
  <c r="AW113" i="1"/>
  <c r="AX113" i="1"/>
  <c r="BC113" i="1"/>
  <c r="BD113" i="1"/>
  <c r="BF113" i="1"/>
  <c r="BH113" i="1"/>
  <c r="BI113" i="1"/>
  <c r="BJ113" i="1"/>
  <c r="J115" i="1"/>
  <c r="K115" i="1"/>
  <c r="L115" i="1"/>
  <c r="Z115" i="1"/>
  <c r="AB115" i="1"/>
  <c r="AC115" i="1"/>
  <c r="AD115" i="1"/>
  <c r="AE115" i="1"/>
  <c r="AF115" i="1"/>
  <c r="AG115" i="1"/>
  <c r="AH115" i="1"/>
  <c r="AJ115" i="1"/>
  <c r="AK115" i="1"/>
  <c r="AL115" i="1"/>
  <c r="AO115" i="1"/>
  <c r="AP115" i="1"/>
  <c r="AV115" i="1"/>
  <c r="AW115" i="1"/>
  <c r="AX115" i="1"/>
  <c r="BC115" i="1"/>
  <c r="BD115" i="1"/>
  <c r="BF115" i="1"/>
  <c r="BH115" i="1"/>
  <c r="BI115" i="1"/>
  <c r="BJ115" i="1"/>
  <c r="J117" i="1"/>
  <c r="K117" i="1"/>
  <c r="L117" i="1"/>
  <c r="Z117" i="1"/>
  <c r="AB117" i="1"/>
  <c r="AC117" i="1"/>
  <c r="AD117" i="1"/>
  <c r="AE117" i="1"/>
  <c r="AF117" i="1"/>
  <c r="AG117" i="1"/>
  <c r="AH117" i="1"/>
  <c r="AJ117" i="1"/>
  <c r="AK117" i="1"/>
  <c r="AL117" i="1"/>
  <c r="AO117" i="1"/>
  <c r="AP117" i="1"/>
  <c r="AV117" i="1"/>
  <c r="AW117" i="1"/>
  <c r="AX117" i="1"/>
  <c r="BC117" i="1"/>
  <c r="BD117" i="1"/>
  <c r="BF117" i="1"/>
  <c r="BH117" i="1"/>
  <c r="BI117" i="1"/>
  <c r="BJ117" i="1"/>
  <c r="J119" i="1"/>
  <c r="K119" i="1"/>
  <c r="L119" i="1"/>
  <c r="AS119" i="1"/>
  <c r="AT119" i="1"/>
  <c r="AU119" i="1"/>
  <c r="J120" i="1"/>
  <c r="K120" i="1"/>
  <c r="L120" i="1"/>
  <c r="Z120" i="1"/>
  <c r="AB120" i="1"/>
  <c r="AC120" i="1"/>
  <c r="AD120" i="1"/>
  <c r="AE120" i="1"/>
  <c r="AF120" i="1"/>
  <c r="AG120" i="1"/>
  <c r="AH120" i="1"/>
  <c r="AJ120" i="1"/>
  <c r="AK120" i="1"/>
  <c r="AL120" i="1"/>
  <c r="AO120" i="1"/>
  <c r="AP120" i="1"/>
  <c r="AV120" i="1"/>
  <c r="AW120" i="1"/>
  <c r="AX120" i="1"/>
  <c r="BC120" i="1"/>
  <c r="BD120" i="1"/>
  <c r="BF120" i="1"/>
  <c r="BH120" i="1"/>
  <c r="BI120" i="1"/>
  <c r="BJ120" i="1"/>
  <c r="J122" i="1"/>
  <c r="K122" i="1"/>
  <c r="L122" i="1"/>
  <c r="Z122" i="1"/>
  <c r="AB122" i="1"/>
  <c r="AC122" i="1"/>
  <c r="AD122" i="1"/>
  <c r="AE122" i="1"/>
  <c r="AF122" i="1"/>
  <c r="AG122" i="1"/>
  <c r="AH122" i="1"/>
  <c r="AJ122" i="1"/>
  <c r="AK122" i="1"/>
  <c r="AL122" i="1"/>
  <c r="AO122" i="1"/>
  <c r="AP122" i="1"/>
  <c r="AV122" i="1"/>
  <c r="AW122" i="1"/>
  <c r="AX122" i="1"/>
  <c r="BC122" i="1"/>
  <c r="BD122" i="1"/>
  <c r="BF122" i="1"/>
  <c r="BH122" i="1"/>
  <c r="BI122" i="1"/>
  <c r="BJ122" i="1"/>
  <c r="J123" i="1"/>
  <c r="K123" i="1"/>
  <c r="L123" i="1"/>
  <c r="Z123" i="1"/>
  <c r="AB123" i="1"/>
  <c r="AC123" i="1"/>
  <c r="AD123" i="1"/>
  <c r="AE123" i="1"/>
  <c r="AF123" i="1"/>
  <c r="AG123" i="1"/>
  <c r="AH123" i="1"/>
  <c r="AJ123" i="1"/>
  <c r="AK123" i="1"/>
  <c r="AL123" i="1"/>
  <c r="AO123" i="1"/>
  <c r="AP123" i="1"/>
  <c r="AV123" i="1"/>
  <c r="AW123" i="1"/>
  <c r="AX123" i="1"/>
  <c r="BC123" i="1"/>
  <c r="BD123" i="1"/>
  <c r="BF123" i="1"/>
  <c r="BH123" i="1"/>
  <c r="BI123" i="1"/>
  <c r="BJ123" i="1"/>
  <c r="J124" i="1"/>
  <c r="K124" i="1"/>
  <c r="L124" i="1"/>
  <c r="AS124" i="1"/>
  <c r="AT124" i="1"/>
  <c r="AU124" i="1"/>
  <c r="J125" i="1"/>
  <c r="K125" i="1"/>
  <c r="L125" i="1"/>
  <c r="Z125" i="1"/>
  <c r="AB125" i="1"/>
  <c r="AC125" i="1"/>
  <c r="AD125" i="1"/>
  <c r="AE125" i="1"/>
  <c r="AF125" i="1"/>
  <c r="AG125" i="1"/>
  <c r="AH125" i="1"/>
  <c r="AJ125" i="1"/>
  <c r="AK125" i="1"/>
  <c r="AL125" i="1"/>
  <c r="AO125" i="1"/>
  <c r="AP125" i="1"/>
  <c r="AV125" i="1"/>
  <c r="AW125" i="1"/>
  <c r="AX125" i="1"/>
  <c r="BC125" i="1"/>
  <c r="BD125" i="1"/>
  <c r="BF125" i="1"/>
  <c r="BH125" i="1"/>
  <c r="BI125" i="1"/>
  <c r="BJ125" i="1"/>
  <c r="J127" i="1"/>
  <c r="K127" i="1"/>
  <c r="L127" i="1"/>
  <c r="AS127" i="1"/>
  <c r="AT127" i="1"/>
  <c r="AU127" i="1"/>
  <c r="J128" i="1"/>
  <c r="K128" i="1"/>
  <c r="L128" i="1"/>
  <c r="Z128" i="1"/>
  <c r="AB128" i="1"/>
  <c r="AC128" i="1"/>
  <c r="AD128" i="1"/>
  <c r="AE128" i="1"/>
  <c r="AF128" i="1"/>
  <c r="AG128" i="1"/>
  <c r="AH128" i="1"/>
  <c r="AJ128" i="1"/>
  <c r="AK128" i="1"/>
  <c r="AL128" i="1"/>
  <c r="AO128" i="1"/>
  <c r="AP128" i="1"/>
  <c r="AV128" i="1"/>
  <c r="AW128" i="1"/>
  <c r="AX128" i="1"/>
  <c r="BC128" i="1"/>
  <c r="BD128" i="1"/>
  <c r="BF128" i="1"/>
  <c r="BH128" i="1"/>
  <c r="BI128" i="1"/>
  <c r="BJ128" i="1"/>
  <c r="J129" i="1"/>
  <c r="K129" i="1"/>
  <c r="L129" i="1"/>
  <c r="Z129" i="1"/>
  <c r="AB129" i="1"/>
  <c r="AC129" i="1"/>
  <c r="AD129" i="1"/>
  <c r="AE129" i="1"/>
  <c r="AF129" i="1"/>
  <c r="AG129" i="1"/>
  <c r="AH129" i="1"/>
  <c r="AJ129" i="1"/>
  <c r="AK129" i="1"/>
  <c r="AL129" i="1"/>
  <c r="AO129" i="1"/>
  <c r="AP129" i="1"/>
  <c r="AV129" i="1"/>
  <c r="AW129" i="1"/>
  <c r="AX129" i="1"/>
  <c r="BC129" i="1"/>
  <c r="BD129" i="1"/>
  <c r="BF129" i="1"/>
  <c r="BH129" i="1"/>
  <c r="BI129" i="1"/>
  <c r="BJ129" i="1"/>
  <c r="J130" i="1"/>
  <c r="K130" i="1"/>
  <c r="L130" i="1"/>
  <c r="Z130" i="1"/>
  <c r="AB130" i="1"/>
  <c r="AC130" i="1"/>
  <c r="AD130" i="1"/>
  <c r="AE130" i="1"/>
  <c r="AF130" i="1"/>
  <c r="AG130" i="1"/>
  <c r="AH130" i="1"/>
  <c r="AJ130" i="1"/>
  <c r="AK130" i="1"/>
  <c r="AL130" i="1"/>
  <c r="AO130" i="1"/>
  <c r="AP130" i="1"/>
  <c r="AV130" i="1"/>
  <c r="AW130" i="1"/>
  <c r="AX130" i="1"/>
  <c r="BC130" i="1"/>
  <c r="BD130" i="1"/>
  <c r="BF130" i="1"/>
  <c r="BH130" i="1"/>
  <c r="BI130" i="1"/>
  <c r="BJ130" i="1"/>
  <c r="J131" i="1"/>
  <c r="K131" i="1"/>
  <c r="L131" i="1"/>
  <c r="Z131" i="1"/>
  <c r="AB131" i="1"/>
  <c r="AC131" i="1"/>
  <c r="AD131" i="1"/>
  <c r="AE131" i="1"/>
  <c r="AF131" i="1"/>
  <c r="AG131" i="1"/>
  <c r="AH131" i="1"/>
  <c r="AJ131" i="1"/>
  <c r="AK131" i="1"/>
  <c r="AL131" i="1"/>
  <c r="AO131" i="1"/>
  <c r="AP131" i="1"/>
  <c r="AV131" i="1"/>
  <c r="AW131" i="1"/>
  <c r="AX131" i="1"/>
  <c r="BC131" i="1"/>
  <c r="BD131" i="1"/>
  <c r="BF131" i="1"/>
  <c r="BH131" i="1"/>
  <c r="BI131" i="1"/>
  <c r="BJ131" i="1"/>
  <c r="J132" i="1"/>
  <c r="K132" i="1"/>
  <c r="L132" i="1"/>
  <c r="AS132" i="1"/>
  <c r="AT132" i="1"/>
  <c r="AU132" i="1"/>
  <c r="J133" i="1"/>
  <c r="K133" i="1"/>
  <c r="L133" i="1"/>
  <c r="Z133" i="1"/>
  <c r="AB133" i="1"/>
  <c r="AC133" i="1"/>
  <c r="AD133" i="1"/>
  <c r="AE133" i="1"/>
  <c r="AF133" i="1"/>
  <c r="AG133" i="1"/>
  <c r="AH133" i="1"/>
  <c r="AJ133" i="1"/>
  <c r="AK133" i="1"/>
  <c r="AL133" i="1"/>
  <c r="AO133" i="1"/>
  <c r="AP133" i="1"/>
  <c r="AV133" i="1"/>
  <c r="AW133" i="1"/>
  <c r="AX133" i="1"/>
  <c r="BC133" i="1"/>
  <c r="BD133" i="1"/>
  <c r="BF133" i="1"/>
  <c r="BH133" i="1"/>
  <c r="BI133" i="1"/>
  <c r="BJ133" i="1"/>
  <c r="J134" i="1"/>
  <c r="K134" i="1"/>
  <c r="L134" i="1"/>
  <c r="Z134" i="1"/>
  <c r="AB134" i="1"/>
  <c r="AC134" i="1"/>
  <c r="AD134" i="1"/>
  <c r="AE134" i="1"/>
  <c r="AF134" i="1"/>
  <c r="AG134" i="1"/>
  <c r="AH134" i="1"/>
  <c r="AJ134" i="1"/>
  <c r="AK134" i="1"/>
  <c r="AL134" i="1"/>
  <c r="AO134" i="1"/>
  <c r="AP134" i="1"/>
  <c r="AV134" i="1"/>
  <c r="AW134" i="1"/>
  <c r="AX134" i="1"/>
  <c r="BC134" i="1"/>
  <c r="BD134" i="1"/>
  <c r="BF134" i="1"/>
  <c r="BH134" i="1"/>
  <c r="BI134" i="1"/>
  <c r="BJ134" i="1"/>
  <c r="J135" i="1"/>
  <c r="K135" i="1"/>
  <c r="L135" i="1"/>
  <c r="AS135" i="1"/>
  <c r="AT135" i="1"/>
  <c r="AU135" i="1"/>
  <c r="J136" i="1"/>
  <c r="K136" i="1"/>
  <c r="L136" i="1"/>
  <c r="Z136" i="1"/>
  <c r="AB136" i="1"/>
  <c r="AC136" i="1"/>
  <c r="AD136" i="1"/>
  <c r="AE136" i="1"/>
  <c r="AF136" i="1"/>
  <c r="AG136" i="1"/>
  <c r="AH136" i="1"/>
  <c r="AJ136" i="1"/>
  <c r="AK136" i="1"/>
  <c r="AL136" i="1"/>
  <c r="AO136" i="1"/>
  <c r="AP136" i="1"/>
  <c r="AV136" i="1"/>
  <c r="AW136" i="1"/>
  <c r="AX136" i="1"/>
  <c r="BC136" i="1"/>
  <c r="BD136" i="1"/>
  <c r="BF136" i="1"/>
  <c r="BH136" i="1"/>
  <c r="BI136" i="1"/>
  <c r="BJ136" i="1"/>
  <c r="J137" i="1"/>
  <c r="K137" i="1"/>
  <c r="L137" i="1"/>
  <c r="AS137" i="1"/>
  <c r="AT137" i="1"/>
  <c r="AU137" i="1"/>
  <c r="J138" i="1"/>
  <c r="K138" i="1"/>
  <c r="L138" i="1"/>
  <c r="Z138" i="1"/>
  <c r="AB138" i="1"/>
  <c r="AC138" i="1"/>
  <c r="AD138" i="1"/>
  <c r="AE138" i="1"/>
  <c r="AF138" i="1"/>
  <c r="AG138" i="1"/>
  <c r="AH138" i="1"/>
  <c r="AJ138" i="1"/>
  <c r="AK138" i="1"/>
  <c r="AL138" i="1"/>
  <c r="AO138" i="1"/>
  <c r="AP138" i="1"/>
  <c r="AV138" i="1"/>
  <c r="AW138" i="1"/>
  <c r="AX138" i="1"/>
  <c r="BC138" i="1"/>
  <c r="BD138" i="1"/>
  <c r="BF138" i="1"/>
  <c r="BH138" i="1"/>
  <c r="BI138" i="1"/>
  <c r="BJ138" i="1"/>
  <c r="J140" i="1"/>
  <c r="K140" i="1"/>
  <c r="L140" i="1"/>
  <c r="Z140" i="1"/>
  <c r="AB140" i="1"/>
  <c r="AC140" i="1"/>
  <c r="AD140" i="1"/>
  <c r="AE140" i="1"/>
  <c r="AF140" i="1"/>
  <c r="AG140" i="1"/>
  <c r="AH140" i="1"/>
  <c r="AJ140" i="1"/>
  <c r="AK140" i="1"/>
  <c r="AL140" i="1"/>
  <c r="AO140" i="1"/>
  <c r="AP140" i="1"/>
  <c r="AV140" i="1"/>
  <c r="AW140" i="1"/>
  <c r="AX140" i="1"/>
  <c r="BC140" i="1"/>
  <c r="BD140" i="1"/>
  <c r="BF140" i="1"/>
  <c r="BH140" i="1"/>
  <c r="BI140" i="1"/>
  <c r="BJ140" i="1"/>
  <c r="J142" i="1"/>
  <c r="K142" i="1"/>
  <c r="L142" i="1"/>
  <c r="Z142" i="1"/>
  <c r="AB142" i="1"/>
  <c r="AC142" i="1"/>
  <c r="AD142" i="1"/>
  <c r="AE142" i="1"/>
  <c r="AF142" i="1"/>
  <c r="AG142" i="1"/>
  <c r="AH142" i="1"/>
  <c r="AJ142" i="1"/>
  <c r="AK142" i="1"/>
  <c r="AL142" i="1"/>
  <c r="AO142" i="1"/>
  <c r="AP142" i="1"/>
  <c r="AV142" i="1"/>
  <c r="AW142" i="1"/>
  <c r="AX142" i="1"/>
  <c r="BC142" i="1"/>
  <c r="BD142" i="1"/>
  <c r="BF142" i="1"/>
  <c r="BH142" i="1"/>
  <c r="BI142" i="1"/>
  <c r="BJ142" i="1"/>
  <c r="J144" i="1"/>
  <c r="K144" i="1"/>
  <c r="L144" i="1"/>
  <c r="Z144" i="1"/>
  <c r="AB144" i="1"/>
  <c r="AC144" i="1"/>
  <c r="AD144" i="1"/>
  <c r="AE144" i="1"/>
  <c r="AF144" i="1"/>
  <c r="AG144" i="1"/>
  <c r="AH144" i="1"/>
  <c r="AJ144" i="1"/>
  <c r="AK144" i="1"/>
  <c r="AL144" i="1"/>
  <c r="AO144" i="1"/>
  <c r="AP144" i="1"/>
  <c r="AV144" i="1"/>
  <c r="AW144" i="1"/>
  <c r="AX144" i="1"/>
  <c r="BC144" i="1"/>
  <c r="BD144" i="1"/>
  <c r="BF144" i="1"/>
  <c r="BH144" i="1"/>
  <c r="BI144" i="1"/>
  <c r="BJ144" i="1"/>
  <c r="J145" i="1"/>
  <c r="K145" i="1"/>
  <c r="L145" i="1"/>
  <c r="AS145" i="1"/>
  <c r="AT145" i="1"/>
  <c r="AU145" i="1"/>
  <c r="J146" i="1"/>
  <c r="K146" i="1"/>
  <c r="L146" i="1"/>
  <c r="Z146" i="1"/>
  <c r="AB146" i="1"/>
  <c r="AC146" i="1"/>
  <c r="AD146" i="1"/>
  <c r="AE146" i="1"/>
  <c r="AF146" i="1"/>
  <c r="AG146" i="1"/>
  <c r="AH146" i="1"/>
  <c r="AJ146" i="1"/>
  <c r="AK146" i="1"/>
  <c r="AL146" i="1"/>
  <c r="AO146" i="1"/>
  <c r="AP146" i="1"/>
  <c r="AV146" i="1"/>
  <c r="AW146" i="1"/>
  <c r="AX146" i="1"/>
  <c r="BC146" i="1"/>
  <c r="BD146" i="1"/>
  <c r="BF146" i="1"/>
  <c r="BH146" i="1"/>
  <c r="BI146" i="1"/>
  <c r="BJ146" i="1"/>
  <c r="J148" i="1"/>
  <c r="K148" i="1"/>
  <c r="L148" i="1"/>
  <c r="AS148" i="1"/>
  <c r="AT148" i="1"/>
  <c r="AU148" i="1"/>
  <c r="J149" i="1"/>
  <c r="K149" i="1"/>
  <c r="L149" i="1"/>
  <c r="Z149" i="1"/>
  <c r="AB149" i="1"/>
  <c r="AC149" i="1"/>
  <c r="AD149" i="1"/>
  <c r="AE149" i="1"/>
  <c r="AF149" i="1"/>
  <c r="AG149" i="1"/>
  <c r="AH149" i="1"/>
  <c r="AJ149" i="1"/>
  <c r="AK149" i="1"/>
  <c r="AL149" i="1"/>
  <c r="AO149" i="1"/>
  <c r="AP149" i="1"/>
  <c r="AV149" i="1"/>
  <c r="AW149" i="1"/>
  <c r="AX149" i="1"/>
  <c r="BC149" i="1"/>
  <c r="BD149" i="1"/>
  <c r="BF149" i="1"/>
  <c r="BH149" i="1"/>
  <c r="BI149" i="1"/>
  <c r="BJ149" i="1"/>
  <c r="J150" i="1"/>
  <c r="K150" i="1"/>
  <c r="L150" i="1"/>
  <c r="Z150" i="1"/>
  <c r="AB150" i="1"/>
  <c r="AC150" i="1"/>
  <c r="AD150" i="1"/>
  <c r="AE150" i="1"/>
  <c r="AF150" i="1"/>
  <c r="AG150" i="1"/>
  <c r="AH150" i="1"/>
  <c r="AJ150" i="1"/>
  <c r="AK150" i="1"/>
  <c r="AL150" i="1"/>
  <c r="AO150" i="1"/>
  <c r="AP150" i="1"/>
  <c r="AV150" i="1"/>
  <c r="AW150" i="1"/>
  <c r="AX150" i="1"/>
  <c r="BC150" i="1"/>
  <c r="BD150" i="1"/>
  <c r="BF150" i="1"/>
  <c r="BH150" i="1"/>
  <c r="BI150" i="1"/>
  <c r="BJ150" i="1"/>
  <c r="J151" i="1"/>
  <c r="K151" i="1"/>
  <c r="L151" i="1"/>
  <c r="Z151" i="1"/>
  <c r="AB151" i="1"/>
  <c r="AC151" i="1"/>
  <c r="AD151" i="1"/>
  <c r="AE151" i="1"/>
  <c r="AF151" i="1"/>
  <c r="AG151" i="1"/>
  <c r="AH151" i="1"/>
  <c r="AJ151" i="1"/>
  <c r="AK151" i="1"/>
  <c r="AL151" i="1"/>
  <c r="AO151" i="1"/>
  <c r="AP151" i="1"/>
  <c r="AV151" i="1"/>
  <c r="AW151" i="1"/>
  <c r="AX151" i="1"/>
  <c r="BC151" i="1"/>
  <c r="BD151" i="1"/>
  <c r="BF151" i="1"/>
  <c r="BH151" i="1"/>
  <c r="BI151" i="1"/>
  <c r="BJ151" i="1"/>
  <c r="J152" i="1"/>
  <c r="K152" i="1"/>
  <c r="L152" i="1"/>
  <c r="Z152" i="1"/>
  <c r="AB152" i="1"/>
  <c r="AC152" i="1"/>
  <c r="AD152" i="1"/>
  <c r="AE152" i="1"/>
  <c r="AF152" i="1"/>
  <c r="AG152" i="1"/>
  <c r="AH152" i="1"/>
  <c r="AJ152" i="1"/>
  <c r="AK152" i="1"/>
  <c r="AL152" i="1"/>
  <c r="AO152" i="1"/>
  <c r="AP152" i="1"/>
  <c r="AV152" i="1"/>
  <c r="AW152" i="1"/>
  <c r="AX152" i="1"/>
  <c r="BC152" i="1"/>
  <c r="BD152" i="1"/>
  <c r="BF152" i="1"/>
  <c r="BH152" i="1"/>
  <c r="BI152" i="1"/>
  <c r="BJ152" i="1"/>
  <c r="J154" i="1"/>
  <c r="K154" i="1"/>
  <c r="L154" i="1"/>
  <c r="AS154" i="1"/>
  <c r="AT154" i="1"/>
  <c r="AU154" i="1"/>
  <c r="J155" i="1"/>
  <c r="K155" i="1"/>
  <c r="L155" i="1"/>
  <c r="Z155" i="1"/>
  <c r="AB155" i="1"/>
  <c r="AC155" i="1"/>
  <c r="AD155" i="1"/>
  <c r="AE155" i="1"/>
  <c r="AF155" i="1"/>
  <c r="AG155" i="1"/>
  <c r="AH155" i="1"/>
  <c r="AJ155" i="1"/>
  <c r="AK155" i="1"/>
  <c r="AL155" i="1"/>
  <c r="AO155" i="1"/>
  <c r="AP155" i="1"/>
  <c r="AV155" i="1"/>
  <c r="AW155" i="1"/>
  <c r="AX155" i="1"/>
  <c r="BC155" i="1"/>
  <c r="BD155" i="1"/>
  <c r="BF155" i="1"/>
  <c r="BH155" i="1"/>
  <c r="BI155" i="1"/>
  <c r="BJ155" i="1"/>
  <c r="J156" i="1"/>
  <c r="K156" i="1"/>
  <c r="L156" i="1"/>
  <c r="Z156" i="1"/>
  <c r="AB156" i="1"/>
  <c r="AC156" i="1"/>
  <c r="AD156" i="1"/>
  <c r="AE156" i="1"/>
  <c r="AF156" i="1"/>
  <c r="AG156" i="1"/>
  <c r="AH156" i="1"/>
  <c r="AJ156" i="1"/>
  <c r="AK156" i="1"/>
  <c r="AL156" i="1"/>
  <c r="AO156" i="1"/>
  <c r="AP156" i="1"/>
  <c r="AV156" i="1"/>
  <c r="AW156" i="1"/>
  <c r="AX156" i="1"/>
  <c r="BC156" i="1"/>
  <c r="BD156" i="1"/>
  <c r="BF156" i="1"/>
  <c r="BH156" i="1"/>
  <c r="BI156" i="1"/>
  <c r="BJ156" i="1"/>
  <c r="J157" i="1"/>
  <c r="K157" i="1"/>
  <c r="L157" i="1"/>
  <c r="Z157" i="1"/>
  <c r="AB157" i="1"/>
  <c r="AC157" i="1"/>
  <c r="AD157" i="1"/>
  <c r="AE157" i="1"/>
  <c r="AF157" i="1"/>
  <c r="AG157" i="1"/>
  <c r="AH157" i="1"/>
  <c r="AJ157" i="1"/>
  <c r="AK157" i="1"/>
  <c r="AL157" i="1"/>
  <c r="AO157" i="1"/>
  <c r="AP157" i="1"/>
  <c r="AV157" i="1"/>
  <c r="AW157" i="1"/>
  <c r="AX157" i="1"/>
  <c r="BC157" i="1"/>
  <c r="BD157" i="1"/>
  <c r="BF157" i="1"/>
  <c r="BH157" i="1"/>
  <c r="BI157" i="1"/>
  <c r="BJ157" i="1"/>
  <c r="J158" i="1"/>
  <c r="K158" i="1"/>
  <c r="L158" i="1"/>
  <c r="Z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J159" i="1"/>
  <c r="K159" i="1"/>
  <c r="L159" i="1"/>
  <c r="Z159" i="1"/>
  <c r="AB159" i="1"/>
  <c r="AC159" i="1"/>
  <c r="AD159" i="1"/>
  <c r="AE159" i="1"/>
  <c r="AF159" i="1"/>
  <c r="AG159" i="1"/>
  <c r="AH159" i="1"/>
  <c r="AJ159" i="1"/>
  <c r="AK159" i="1"/>
  <c r="AL159" i="1"/>
  <c r="AO159" i="1"/>
  <c r="AP159" i="1"/>
  <c r="AV159" i="1"/>
  <c r="AW159" i="1"/>
  <c r="AX159" i="1"/>
  <c r="BC159" i="1"/>
  <c r="BD159" i="1"/>
  <c r="BF159" i="1"/>
  <c r="BH159" i="1"/>
  <c r="BI159" i="1"/>
  <c r="BJ159" i="1"/>
  <c r="J160" i="1"/>
  <c r="K160" i="1"/>
  <c r="L160" i="1"/>
  <c r="Z160" i="1"/>
  <c r="AB160" i="1"/>
  <c r="AC160" i="1"/>
  <c r="AD160" i="1"/>
  <c r="AE160" i="1"/>
  <c r="AF160" i="1"/>
  <c r="AG160" i="1"/>
  <c r="AH160" i="1"/>
  <c r="AJ160" i="1"/>
  <c r="AK160" i="1"/>
  <c r="AL160" i="1"/>
  <c r="AO160" i="1"/>
  <c r="AP160" i="1"/>
  <c r="AV160" i="1"/>
  <c r="AW160" i="1"/>
  <c r="AX160" i="1"/>
  <c r="BC160" i="1"/>
  <c r="BD160" i="1"/>
  <c r="BF160" i="1"/>
  <c r="BH160" i="1"/>
  <c r="BI160" i="1"/>
  <c r="BJ160" i="1"/>
  <c r="J161" i="1"/>
  <c r="K161" i="1"/>
  <c r="L161" i="1"/>
  <c r="Z161" i="1"/>
  <c r="AB161" i="1"/>
  <c r="AC161" i="1"/>
  <c r="AD161" i="1"/>
  <c r="AE161" i="1"/>
  <c r="AF161" i="1"/>
  <c r="AG161" i="1"/>
  <c r="AH161" i="1"/>
  <c r="AJ161" i="1"/>
  <c r="AK161" i="1"/>
  <c r="AL161" i="1"/>
  <c r="AO161" i="1"/>
  <c r="AP161" i="1"/>
  <c r="AV161" i="1"/>
  <c r="AW161" i="1"/>
  <c r="AX161" i="1"/>
  <c r="BC161" i="1"/>
  <c r="BD161" i="1"/>
  <c r="BF161" i="1"/>
  <c r="BH161" i="1"/>
  <c r="BI161" i="1"/>
  <c r="BJ161" i="1"/>
  <c r="J162" i="1"/>
  <c r="K162" i="1"/>
  <c r="L162" i="1"/>
  <c r="Z162" i="1"/>
  <c r="AB162" i="1"/>
  <c r="AC162" i="1"/>
  <c r="AD162" i="1"/>
  <c r="AE162" i="1"/>
  <c r="AF162" i="1"/>
  <c r="AG162" i="1"/>
  <c r="AH162" i="1"/>
  <c r="AJ162" i="1"/>
  <c r="AK162" i="1"/>
  <c r="AL162" i="1"/>
  <c r="AO162" i="1"/>
  <c r="AP162" i="1"/>
  <c r="AV162" i="1"/>
  <c r="AW162" i="1"/>
  <c r="AX162" i="1"/>
  <c r="BC162" i="1"/>
  <c r="BD162" i="1"/>
  <c r="BF162" i="1"/>
  <c r="BH162" i="1"/>
  <c r="BI162" i="1"/>
  <c r="BJ162" i="1"/>
  <c r="J163" i="1"/>
  <c r="K163" i="1"/>
  <c r="L163" i="1"/>
  <c r="Z163" i="1"/>
  <c r="AB163" i="1"/>
  <c r="AC163" i="1"/>
  <c r="AD163" i="1"/>
  <c r="AE163" i="1"/>
  <c r="AF163" i="1"/>
  <c r="AG163" i="1"/>
  <c r="AH163" i="1"/>
  <c r="AJ163" i="1"/>
  <c r="AK163" i="1"/>
  <c r="AL163" i="1"/>
  <c r="AO163" i="1"/>
  <c r="AP163" i="1"/>
  <c r="AV163" i="1"/>
  <c r="AW163" i="1"/>
  <c r="AX163" i="1"/>
  <c r="BC163" i="1"/>
  <c r="BD163" i="1"/>
  <c r="BF163" i="1"/>
  <c r="BH163" i="1"/>
  <c r="BI163" i="1"/>
  <c r="BJ163" i="1"/>
  <c r="J164" i="1"/>
  <c r="K164" i="1"/>
  <c r="L164" i="1"/>
  <c r="Z164" i="1"/>
  <c r="AB164" i="1"/>
  <c r="AC164" i="1"/>
  <c r="AD164" i="1"/>
  <c r="AE164" i="1"/>
  <c r="AF164" i="1"/>
  <c r="AG164" i="1"/>
  <c r="AH164" i="1"/>
  <c r="AJ164" i="1"/>
  <c r="AK164" i="1"/>
  <c r="AL164" i="1"/>
  <c r="AO164" i="1"/>
  <c r="AP164" i="1"/>
  <c r="AV164" i="1"/>
  <c r="AW164" i="1"/>
  <c r="AX164" i="1"/>
  <c r="BC164" i="1"/>
  <c r="BD164" i="1"/>
  <c r="BF164" i="1"/>
  <c r="BH164" i="1"/>
  <c r="BI164" i="1"/>
  <c r="BJ164" i="1"/>
  <c r="J165" i="1"/>
  <c r="K165" i="1"/>
  <c r="L165" i="1"/>
  <c r="Z165" i="1"/>
  <c r="AB165" i="1"/>
  <c r="AC165" i="1"/>
  <c r="AD165" i="1"/>
  <c r="AE165" i="1"/>
  <c r="AF165" i="1"/>
  <c r="AG165" i="1"/>
  <c r="AH165" i="1"/>
  <c r="AJ165" i="1"/>
  <c r="AK165" i="1"/>
  <c r="AL165" i="1"/>
  <c r="AO165" i="1"/>
  <c r="AP165" i="1"/>
  <c r="AV165" i="1"/>
  <c r="AW165" i="1"/>
  <c r="AX165" i="1"/>
  <c r="BC165" i="1"/>
  <c r="BD165" i="1"/>
  <c r="BF165" i="1"/>
  <c r="BH165" i="1"/>
  <c r="BI165" i="1"/>
  <c r="BJ165" i="1"/>
  <c r="J166" i="1"/>
  <c r="K166" i="1"/>
  <c r="L166" i="1"/>
  <c r="Z166" i="1"/>
  <c r="AB166" i="1"/>
  <c r="AC166" i="1"/>
  <c r="AD166" i="1"/>
  <c r="AE166" i="1"/>
  <c r="AF166" i="1"/>
  <c r="AG166" i="1"/>
  <c r="AH166" i="1"/>
  <c r="AJ166" i="1"/>
  <c r="AK166" i="1"/>
  <c r="AL166" i="1"/>
  <c r="AO166" i="1"/>
  <c r="AP166" i="1"/>
  <c r="AV166" i="1"/>
  <c r="AW166" i="1"/>
  <c r="AX166" i="1"/>
  <c r="BC166" i="1"/>
  <c r="BD166" i="1"/>
  <c r="BF166" i="1"/>
  <c r="BH166" i="1"/>
  <c r="BI166" i="1"/>
  <c r="BJ166" i="1"/>
  <c r="J167" i="1"/>
  <c r="K167" i="1"/>
  <c r="L167" i="1"/>
  <c r="Z167" i="1"/>
  <c r="AB167" i="1"/>
  <c r="AC167" i="1"/>
  <c r="AD167" i="1"/>
  <c r="AE167" i="1"/>
  <c r="AF167" i="1"/>
  <c r="AG167" i="1"/>
  <c r="AH167" i="1"/>
  <c r="AJ167" i="1"/>
  <c r="AK167" i="1"/>
  <c r="AL167" i="1"/>
  <c r="AO167" i="1"/>
  <c r="AP167" i="1"/>
  <c r="AV167" i="1"/>
  <c r="AW167" i="1"/>
  <c r="AX167" i="1"/>
  <c r="BC167" i="1"/>
  <c r="BD167" i="1"/>
  <c r="BF167" i="1"/>
  <c r="BH167" i="1"/>
  <c r="BI167" i="1"/>
  <c r="BJ167" i="1"/>
  <c r="J168" i="1"/>
  <c r="K168" i="1"/>
  <c r="L168" i="1"/>
  <c r="Z168" i="1"/>
  <c r="AB168" i="1"/>
  <c r="AC168" i="1"/>
  <c r="AD168" i="1"/>
  <c r="AE168" i="1"/>
  <c r="AF168" i="1"/>
  <c r="AG168" i="1"/>
  <c r="AH168" i="1"/>
  <c r="AJ168" i="1"/>
  <c r="AK168" i="1"/>
  <c r="AL168" i="1"/>
  <c r="AO168" i="1"/>
  <c r="AP168" i="1"/>
  <c r="AV168" i="1"/>
  <c r="AW168" i="1"/>
  <c r="AX168" i="1"/>
  <c r="BC168" i="1"/>
  <c r="BD168" i="1"/>
  <c r="BF168" i="1"/>
  <c r="BH168" i="1"/>
  <c r="BI168" i="1"/>
  <c r="BJ168" i="1"/>
  <c r="J169" i="1"/>
  <c r="K169" i="1"/>
  <c r="L169" i="1"/>
  <c r="Z169" i="1"/>
  <c r="AB169" i="1"/>
  <c r="AC169" i="1"/>
  <c r="AD169" i="1"/>
  <c r="AE169" i="1"/>
  <c r="AF169" i="1"/>
  <c r="AG169" i="1"/>
  <c r="AH169" i="1"/>
  <c r="AJ169" i="1"/>
  <c r="AK169" i="1"/>
  <c r="AL169" i="1"/>
  <c r="AO169" i="1"/>
  <c r="AP169" i="1"/>
  <c r="AV169" i="1"/>
  <c r="AW169" i="1"/>
  <c r="AX169" i="1"/>
  <c r="BC169" i="1"/>
  <c r="BD169" i="1"/>
  <c r="BF169" i="1"/>
  <c r="BH169" i="1"/>
  <c r="BI169" i="1"/>
  <c r="BJ169" i="1"/>
  <c r="J170" i="1"/>
  <c r="K170" i="1"/>
  <c r="L170" i="1"/>
  <c r="Z170" i="1"/>
  <c r="AB170" i="1"/>
  <c r="AC170" i="1"/>
  <c r="AD170" i="1"/>
  <c r="AE170" i="1"/>
  <c r="AF170" i="1"/>
  <c r="AG170" i="1"/>
  <c r="AH170" i="1"/>
  <c r="AJ170" i="1"/>
  <c r="AK170" i="1"/>
  <c r="AL170" i="1"/>
  <c r="AO170" i="1"/>
  <c r="AP170" i="1"/>
  <c r="AV170" i="1"/>
  <c r="AW170" i="1"/>
  <c r="AX170" i="1"/>
  <c r="BC170" i="1"/>
  <c r="BD170" i="1"/>
  <c r="BF170" i="1"/>
  <c r="BH170" i="1"/>
  <c r="BI170" i="1"/>
  <c r="BJ170" i="1"/>
  <c r="J171" i="1"/>
  <c r="K171" i="1"/>
  <c r="L171" i="1"/>
  <c r="Z171" i="1"/>
  <c r="AB171" i="1"/>
  <c r="AC171" i="1"/>
  <c r="AD171" i="1"/>
  <c r="AE171" i="1"/>
  <c r="AF171" i="1"/>
  <c r="AG171" i="1"/>
  <c r="AH171" i="1"/>
  <c r="AJ171" i="1"/>
  <c r="AK171" i="1"/>
  <c r="AL171" i="1"/>
  <c r="AO171" i="1"/>
  <c r="AP171" i="1"/>
  <c r="AV171" i="1"/>
  <c r="AW171" i="1"/>
  <c r="AX171" i="1"/>
  <c r="BC171" i="1"/>
  <c r="BD171" i="1"/>
  <c r="BF171" i="1"/>
  <c r="BH171" i="1"/>
  <c r="BI171" i="1"/>
  <c r="BJ171" i="1"/>
  <c r="J172" i="1"/>
  <c r="K172" i="1"/>
  <c r="L172" i="1"/>
  <c r="Z172" i="1"/>
  <c r="AB172" i="1"/>
  <c r="AC172" i="1"/>
  <c r="AD172" i="1"/>
  <c r="AE172" i="1"/>
  <c r="AF172" i="1"/>
  <c r="AG172" i="1"/>
  <c r="AH172" i="1"/>
  <c r="AJ172" i="1"/>
  <c r="AK172" i="1"/>
  <c r="AL172" i="1"/>
  <c r="AO172" i="1"/>
  <c r="AP172" i="1"/>
  <c r="AV172" i="1"/>
  <c r="AW172" i="1"/>
  <c r="AX172" i="1"/>
  <c r="BC172" i="1"/>
  <c r="BD172" i="1"/>
  <c r="BF172" i="1"/>
  <c r="BH172" i="1"/>
  <c r="BI172" i="1"/>
  <c r="BJ172" i="1"/>
  <c r="J173" i="1"/>
  <c r="K173" i="1"/>
  <c r="L173" i="1"/>
  <c r="Z173" i="1"/>
  <c r="AB173" i="1"/>
  <c r="AC173" i="1"/>
  <c r="AD173" i="1"/>
  <c r="AE173" i="1"/>
  <c r="AF173" i="1"/>
  <c r="AG173" i="1"/>
  <c r="AH173" i="1"/>
  <c r="AJ173" i="1"/>
  <c r="AK173" i="1"/>
  <c r="AL173" i="1"/>
  <c r="AO173" i="1"/>
  <c r="AP173" i="1"/>
  <c r="AV173" i="1"/>
  <c r="AW173" i="1"/>
  <c r="AX173" i="1"/>
  <c r="BC173" i="1"/>
  <c r="BD173" i="1"/>
  <c r="BF173" i="1"/>
  <c r="BH173" i="1"/>
  <c r="BI173" i="1"/>
  <c r="BJ173" i="1"/>
  <c r="J174" i="1"/>
  <c r="K174" i="1"/>
  <c r="L174" i="1"/>
  <c r="Z174" i="1"/>
  <c r="AB174" i="1"/>
  <c r="AC174" i="1"/>
  <c r="AD174" i="1"/>
  <c r="AE174" i="1"/>
  <c r="AF174" i="1"/>
  <c r="AG174" i="1"/>
  <c r="AH174" i="1"/>
  <c r="AJ174" i="1"/>
  <c r="AK174" i="1"/>
  <c r="AL174" i="1"/>
  <c r="AO174" i="1"/>
  <c r="AP174" i="1"/>
  <c r="AV174" i="1"/>
  <c r="AW174" i="1"/>
  <c r="AX174" i="1"/>
  <c r="BC174" i="1"/>
  <c r="BD174" i="1"/>
  <c r="BF174" i="1"/>
  <c r="BH174" i="1"/>
  <c r="BI174" i="1"/>
  <c r="BJ174" i="1"/>
  <c r="J175" i="1"/>
  <c r="K175" i="1"/>
  <c r="L175" i="1"/>
  <c r="AS175" i="1"/>
  <c r="AT175" i="1"/>
  <c r="AU175" i="1"/>
  <c r="J176" i="1"/>
  <c r="K176" i="1"/>
  <c r="L176" i="1"/>
  <c r="Z176" i="1"/>
  <c r="AB176" i="1"/>
  <c r="AC176" i="1"/>
  <c r="AD176" i="1"/>
  <c r="AE176" i="1"/>
  <c r="AF176" i="1"/>
  <c r="AG176" i="1"/>
  <c r="AH176" i="1"/>
  <c r="AJ176" i="1"/>
  <c r="AK176" i="1"/>
  <c r="AL176" i="1"/>
  <c r="AO176" i="1"/>
  <c r="AP176" i="1"/>
  <c r="AV176" i="1"/>
  <c r="AW176" i="1"/>
  <c r="AX176" i="1"/>
  <c r="BC176" i="1"/>
  <c r="BD176" i="1"/>
  <c r="BF176" i="1"/>
  <c r="BH176" i="1"/>
  <c r="BI176" i="1"/>
  <c r="BJ176" i="1"/>
  <c r="J177" i="1"/>
  <c r="K177" i="1"/>
  <c r="L177" i="1"/>
  <c r="Z177" i="1"/>
  <c r="AB177" i="1"/>
  <c r="AC177" i="1"/>
  <c r="AD177" i="1"/>
  <c r="AE177" i="1"/>
  <c r="AF177" i="1"/>
  <c r="AG177" i="1"/>
  <c r="AH177" i="1"/>
  <c r="AJ177" i="1"/>
  <c r="AK177" i="1"/>
  <c r="AL177" i="1"/>
  <c r="AO177" i="1"/>
  <c r="AP177" i="1"/>
  <c r="AV177" i="1"/>
  <c r="AW177" i="1"/>
  <c r="AX177" i="1"/>
  <c r="BC177" i="1"/>
  <c r="BD177" i="1"/>
  <c r="BF177" i="1"/>
  <c r="BH177" i="1"/>
  <c r="BI177" i="1"/>
  <c r="BJ177" i="1"/>
  <c r="J178" i="1"/>
  <c r="K178" i="1"/>
  <c r="L178" i="1"/>
  <c r="Z178" i="1"/>
  <c r="AB178" i="1"/>
  <c r="AC178" i="1"/>
  <c r="AD178" i="1"/>
  <c r="AE178" i="1"/>
  <c r="AF178" i="1"/>
  <c r="AG178" i="1"/>
  <c r="AH178" i="1"/>
  <c r="AJ178" i="1"/>
  <c r="AK178" i="1"/>
  <c r="AL178" i="1"/>
  <c r="AO178" i="1"/>
  <c r="AP178" i="1"/>
  <c r="AV178" i="1"/>
  <c r="AW178" i="1"/>
  <c r="AX178" i="1"/>
  <c r="BC178" i="1"/>
  <c r="BD178" i="1"/>
  <c r="BF178" i="1"/>
  <c r="BH178" i="1"/>
  <c r="BI178" i="1"/>
  <c r="BJ178" i="1"/>
  <c r="J179" i="1"/>
  <c r="K179" i="1"/>
  <c r="L179" i="1"/>
  <c r="Z179" i="1"/>
  <c r="AB179" i="1"/>
  <c r="AC179" i="1"/>
  <c r="AD179" i="1"/>
  <c r="AE179" i="1"/>
  <c r="AF179" i="1"/>
  <c r="AG179" i="1"/>
  <c r="AH179" i="1"/>
  <c r="AJ179" i="1"/>
  <c r="AK179" i="1"/>
  <c r="AL179" i="1"/>
  <c r="AO179" i="1"/>
  <c r="AP179" i="1"/>
  <c r="AV179" i="1"/>
  <c r="AW179" i="1"/>
  <c r="AX179" i="1"/>
  <c r="BC179" i="1"/>
  <c r="BD179" i="1"/>
  <c r="BF179" i="1"/>
  <c r="BH179" i="1"/>
  <c r="BI179" i="1"/>
  <c r="BJ179" i="1"/>
  <c r="J180" i="1"/>
  <c r="K180" i="1"/>
  <c r="L180" i="1"/>
  <c r="Z180" i="1"/>
  <c r="AB180" i="1"/>
  <c r="AC180" i="1"/>
  <c r="AD180" i="1"/>
  <c r="AE180" i="1"/>
  <c r="AF180" i="1"/>
  <c r="AG180" i="1"/>
  <c r="AH180" i="1"/>
  <c r="AJ180" i="1"/>
  <c r="AK180" i="1"/>
  <c r="AL180" i="1"/>
  <c r="AO180" i="1"/>
  <c r="AP180" i="1"/>
  <c r="AV180" i="1"/>
  <c r="AW180" i="1"/>
  <c r="AX180" i="1"/>
  <c r="BC180" i="1"/>
  <c r="BD180" i="1"/>
  <c r="BF180" i="1"/>
  <c r="BH180" i="1"/>
  <c r="BI180" i="1"/>
  <c r="BJ180" i="1"/>
  <c r="J181" i="1"/>
  <c r="K181" i="1"/>
  <c r="L181" i="1"/>
  <c r="Z181" i="1"/>
  <c r="AB181" i="1"/>
  <c r="AC181" i="1"/>
  <c r="AD181" i="1"/>
  <c r="AE181" i="1"/>
  <c r="AF181" i="1"/>
  <c r="AG181" i="1"/>
  <c r="AH181" i="1"/>
  <c r="AJ181" i="1"/>
  <c r="AK181" i="1"/>
  <c r="AL181" i="1"/>
  <c r="AO181" i="1"/>
  <c r="AP181" i="1"/>
  <c r="AV181" i="1"/>
  <c r="AW181" i="1"/>
  <c r="AX181" i="1"/>
  <c r="BC181" i="1"/>
  <c r="BD181" i="1"/>
  <c r="BF181" i="1"/>
  <c r="BH181" i="1"/>
  <c r="BI181" i="1"/>
  <c r="BJ181" i="1"/>
  <c r="J182" i="1"/>
  <c r="K182" i="1"/>
  <c r="L182" i="1"/>
  <c r="Z182" i="1"/>
  <c r="AB182" i="1"/>
  <c r="AC182" i="1"/>
  <c r="AD182" i="1"/>
  <c r="AE182" i="1"/>
  <c r="AF182" i="1"/>
  <c r="AG182" i="1"/>
  <c r="AH182" i="1"/>
  <c r="AJ182" i="1"/>
  <c r="AK182" i="1"/>
  <c r="AL182" i="1"/>
  <c r="AO182" i="1"/>
  <c r="AP182" i="1"/>
  <c r="AV182" i="1"/>
  <c r="AW182" i="1"/>
  <c r="AX182" i="1"/>
  <c r="BC182" i="1"/>
  <c r="BD182" i="1"/>
  <c r="BF182" i="1"/>
  <c r="BH182" i="1"/>
  <c r="BI182" i="1"/>
  <c r="BJ182" i="1"/>
  <c r="J183" i="1"/>
  <c r="K183" i="1"/>
  <c r="L183" i="1"/>
  <c r="Z183" i="1"/>
  <c r="AB183" i="1"/>
  <c r="AC183" i="1"/>
  <c r="AD183" i="1"/>
  <c r="AE183" i="1"/>
  <c r="AF183" i="1"/>
  <c r="AG183" i="1"/>
  <c r="AH183" i="1"/>
  <c r="AJ183" i="1"/>
  <c r="AK183" i="1"/>
  <c r="AL183" i="1"/>
  <c r="AO183" i="1"/>
  <c r="AP183" i="1"/>
  <c r="AV183" i="1"/>
  <c r="AW183" i="1"/>
  <c r="AX183" i="1"/>
  <c r="BC183" i="1"/>
  <c r="BD183" i="1"/>
  <c r="BF183" i="1"/>
  <c r="BH183" i="1"/>
  <c r="BI183" i="1"/>
  <c r="BJ183" i="1"/>
  <c r="J184" i="1"/>
  <c r="K184" i="1"/>
  <c r="L184" i="1"/>
  <c r="Z184" i="1"/>
  <c r="AB184" i="1"/>
  <c r="AC184" i="1"/>
  <c r="AD184" i="1"/>
  <c r="AE184" i="1"/>
  <c r="AF184" i="1"/>
  <c r="AG184" i="1"/>
  <c r="AH184" i="1"/>
  <c r="AJ184" i="1"/>
  <c r="AK184" i="1"/>
  <c r="AL184" i="1"/>
  <c r="AO184" i="1"/>
  <c r="AP184" i="1"/>
  <c r="AV184" i="1"/>
  <c r="AW184" i="1"/>
  <c r="AX184" i="1"/>
  <c r="BC184" i="1"/>
  <c r="BD184" i="1"/>
  <c r="BF184" i="1"/>
  <c r="BH184" i="1"/>
  <c r="BI184" i="1"/>
  <c r="BJ184" i="1"/>
  <c r="J185" i="1"/>
  <c r="K185" i="1"/>
  <c r="L185" i="1"/>
  <c r="Z185" i="1"/>
  <c r="AB185" i="1"/>
  <c r="AC185" i="1"/>
  <c r="AD185" i="1"/>
  <c r="AE185" i="1"/>
  <c r="AF185" i="1"/>
  <c r="AG185" i="1"/>
  <c r="AH185" i="1"/>
  <c r="AJ185" i="1"/>
  <c r="AK185" i="1"/>
  <c r="AL185" i="1"/>
  <c r="AO185" i="1"/>
  <c r="AP185" i="1"/>
  <c r="AV185" i="1"/>
  <c r="AW185" i="1"/>
  <c r="AX185" i="1"/>
  <c r="BC185" i="1"/>
  <c r="BD185" i="1"/>
  <c r="BF185" i="1"/>
  <c r="BH185" i="1"/>
  <c r="BI185" i="1"/>
  <c r="BJ185" i="1"/>
  <c r="J186" i="1"/>
  <c r="K186" i="1"/>
  <c r="L186" i="1"/>
  <c r="Z186" i="1"/>
  <c r="AB186" i="1"/>
  <c r="AC186" i="1"/>
  <c r="AD186" i="1"/>
  <c r="AE186" i="1"/>
  <c r="AF186" i="1"/>
  <c r="AG186" i="1"/>
  <c r="AH186" i="1"/>
  <c r="AJ186" i="1"/>
  <c r="AK186" i="1"/>
  <c r="AL186" i="1"/>
  <c r="AO186" i="1"/>
  <c r="AP186" i="1"/>
  <c r="AV186" i="1"/>
  <c r="AW186" i="1"/>
  <c r="AX186" i="1"/>
  <c r="BC186" i="1"/>
  <c r="BD186" i="1"/>
  <c r="BF186" i="1"/>
  <c r="BH186" i="1"/>
  <c r="BI186" i="1"/>
  <c r="BJ186" i="1"/>
  <c r="J187" i="1"/>
  <c r="K187" i="1"/>
  <c r="L187" i="1"/>
  <c r="Z187" i="1"/>
  <c r="AB187" i="1"/>
  <c r="AC187" i="1"/>
  <c r="AD187" i="1"/>
  <c r="AE187" i="1"/>
  <c r="AF187" i="1"/>
  <c r="AG187" i="1"/>
  <c r="AH187" i="1"/>
  <c r="AJ187" i="1"/>
  <c r="AK187" i="1"/>
  <c r="AL187" i="1"/>
  <c r="AO187" i="1"/>
  <c r="AP187" i="1"/>
  <c r="AV187" i="1"/>
  <c r="AW187" i="1"/>
  <c r="AX187" i="1"/>
  <c r="BC187" i="1"/>
  <c r="BD187" i="1"/>
  <c r="BF187" i="1"/>
  <c r="BH187" i="1"/>
  <c r="BI187" i="1"/>
  <c r="BJ187" i="1"/>
  <c r="J188" i="1"/>
  <c r="K188" i="1"/>
  <c r="L188" i="1"/>
  <c r="AS188" i="1"/>
  <c r="AT188" i="1"/>
  <c r="AU188" i="1"/>
  <c r="J189" i="1"/>
  <c r="K189" i="1"/>
  <c r="L189" i="1"/>
  <c r="Z189" i="1"/>
  <c r="AB189" i="1"/>
  <c r="AC189" i="1"/>
  <c r="AD189" i="1"/>
  <c r="AE189" i="1"/>
  <c r="AF189" i="1"/>
  <c r="AG189" i="1"/>
  <c r="AH189" i="1"/>
  <c r="AJ189" i="1"/>
  <c r="AK189" i="1"/>
  <c r="AL189" i="1"/>
  <c r="AO189" i="1"/>
  <c r="AP189" i="1"/>
  <c r="AV189" i="1"/>
  <c r="AW189" i="1"/>
  <c r="AX189" i="1"/>
  <c r="BC189" i="1"/>
  <c r="BD189" i="1"/>
  <c r="BF189" i="1"/>
  <c r="BH189" i="1"/>
  <c r="BI189" i="1"/>
  <c r="BJ189" i="1"/>
  <c r="J190" i="1"/>
  <c r="K190" i="1"/>
  <c r="L190" i="1"/>
  <c r="Z190" i="1"/>
  <c r="AB190" i="1"/>
  <c r="AC190" i="1"/>
  <c r="AD190" i="1"/>
  <c r="AE190" i="1"/>
  <c r="AF190" i="1"/>
  <c r="AG190" i="1"/>
  <c r="AH190" i="1"/>
  <c r="AJ190" i="1"/>
  <c r="AK190" i="1"/>
  <c r="AL190" i="1"/>
  <c r="AO190" i="1"/>
  <c r="AP190" i="1"/>
  <c r="AV190" i="1"/>
  <c r="AW190" i="1"/>
  <c r="AX190" i="1"/>
  <c r="BC190" i="1"/>
  <c r="BD190" i="1"/>
  <c r="BF190" i="1"/>
  <c r="BH190" i="1"/>
  <c r="BI190" i="1"/>
  <c r="BJ190" i="1"/>
  <c r="J191" i="1"/>
  <c r="K191" i="1"/>
  <c r="L191" i="1"/>
  <c r="Z191" i="1"/>
  <c r="AB191" i="1"/>
  <c r="AC191" i="1"/>
  <c r="AD191" i="1"/>
  <c r="AE191" i="1"/>
  <c r="AF191" i="1"/>
  <c r="AG191" i="1"/>
  <c r="AH191" i="1"/>
  <c r="AJ191" i="1"/>
  <c r="AK191" i="1"/>
  <c r="AL191" i="1"/>
  <c r="AO191" i="1"/>
  <c r="AP191" i="1"/>
  <c r="AV191" i="1"/>
  <c r="AW191" i="1"/>
  <c r="AX191" i="1"/>
  <c r="BC191" i="1"/>
  <c r="BD191" i="1"/>
  <c r="BF191" i="1"/>
  <c r="BH191" i="1"/>
  <c r="BI191" i="1"/>
  <c r="BJ191" i="1"/>
  <c r="J192" i="1"/>
  <c r="K192" i="1"/>
  <c r="L192" i="1"/>
  <c r="Z192" i="1"/>
  <c r="AB192" i="1"/>
  <c r="AC192" i="1"/>
  <c r="AD192" i="1"/>
  <c r="AE192" i="1"/>
  <c r="AF192" i="1"/>
  <c r="AG192" i="1"/>
  <c r="AH192" i="1"/>
  <c r="AJ192" i="1"/>
  <c r="AK192" i="1"/>
  <c r="AL192" i="1"/>
  <c r="AO192" i="1"/>
  <c r="AP192" i="1"/>
  <c r="AV192" i="1"/>
  <c r="AW192" i="1"/>
  <c r="AX192" i="1"/>
  <c r="BC192" i="1"/>
  <c r="BD192" i="1"/>
  <c r="BF192" i="1"/>
  <c r="BH192" i="1"/>
  <c r="BI192" i="1"/>
  <c r="BJ192" i="1"/>
  <c r="J193" i="1"/>
  <c r="K193" i="1"/>
  <c r="L193" i="1"/>
  <c r="Z193" i="1"/>
  <c r="AB193" i="1"/>
  <c r="AC193" i="1"/>
  <c r="AD193" i="1"/>
  <c r="AE193" i="1"/>
  <c r="AF193" i="1"/>
  <c r="AG193" i="1"/>
  <c r="AH193" i="1"/>
  <c r="AJ193" i="1"/>
  <c r="AK193" i="1"/>
  <c r="AL193" i="1"/>
  <c r="AO193" i="1"/>
  <c r="AP193" i="1"/>
  <c r="AV193" i="1"/>
  <c r="AW193" i="1"/>
  <c r="AX193" i="1"/>
  <c r="BC193" i="1"/>
  <c r="BD193" i="1"/>
  <c r="BF193" i="1"/>
  <c r="BH193" i="1"/>
  <c r="BI193" i="1"/>
  <c r="BJ193" i="1"/>
  <c r="J194" i="1"/>
  <c r="K194" i="1"/>
  <c r="L194" i="1"/>
  <c r="Z194" i="1"/>
  <c r="AB194" i="1"/>
  <c r="AC194" i="1"/>
  <c r="AD194" i="1"/>
  <c r="AE194" i="1"/>
  <c r="AF194" i="1"/>
  <c r="AG194" i="1"/>
  <c r="AH194" i="1"/>
  <c r="AJ194" i="1"/>
  <c r="AK194" i="1"/>
  <c r="AL194" i="1"/>
  <c r="AO194" i="1"/>
  <c r="AP194" i="1"/>
  <c r="AV194" i="1"/>
  <c r="AW194" i="1"/>
  <c r="AX194" i="1"/>
  <c r="BC194" i="1"/>
  <c r="BD194" i="1"/>
  <c r="BF194" i="1"/>
  <c r="BH194" i="1"/>
  <c r="BI194" i="1"/>
  <c r="BJ194" i="1"/>
  <c r="J195" i="1"/>
  <c r="K195" i="1"/>
  <c r="L195" i="1"/>
  <c r="Z195" i="1"/>
  <c r="AB195" i="1"/>
  <c r="AC195" i="1"/>
  <c r="AD195" i="1"/>
  <c r="AE195" i="1"/>
  <c r="AF195" i="1"/>
  <c r="AG195" i="1"/>
  <c r="AH195" i="1"/>
  <c r="AJ195" i="1"/>
  <c r="AK195" i="1"/>
  <c r="AL195" i="1"/>
  <c r="AO195" i="1"/>
  <c r="AP195" i="1"/>
  <c r="AV195" i="1"/>
  <c r="AW195" i="1"/>
  <c r="AX195" i="1"/>
  <c r="BC195" i="1"/>
  <c r="BD195" i="1"/>
  <c r="BF195" i="1"/>
  <c r="BH195" i="1"/>
  <c r="BI195" i="1"/>
  <c r="BJ195" i="1"/>
  <c r="J196" i="1"/>
  <c r="K196" i="1"/>
  <c r="L196" i="1"/>
  <c r="Z196" i="1"/>
  <c r="AB196" i="1"/>
  <c r="AC196" i="1"/>
  <c r="AD196" i="1"/>
  <c r="AE196" i="1"/>
  <c r="AF196" i="1"/>
  <c r="AG196" i="1"/>
  <c r="AH196" i="1"/>
  <c r="AJ196" i="1"/>
  <c r="AK196" i="1"/>
  <c r="AL196" i="1"/>
  <c r="AO196" i="1"/>
  <c r="AP196" i="1"/>
  <c r="AV196" i="1"/>
  <c r="AW196" i="1"/>
  <c r="AX196" i="1"/>
  <c r="BC196" i="1"/>
  <c r="BD196" i="1"/>
  <c r="BF196" i="1"/>
  <c r="BH196" i="1"/>
  <c r="BI196" i="1"/>
  <c r="BJ196" i="1"/>
  <c r="J197" i="1"/>
  <c r="K197" i="1"/>
  <c r="L197" i="1"/>
  <c r="Z197" i="1"/>
  <c r="AB197" i="1"/>
  <c r="AC197" i="1"/>
  <c r="AD197" i="1"/>
  <c r="AE197" i="1"/>
  <c r="AF197" i="1"/>
  <c r="AG197" i="1"/>
  <c r="AH197" i="1"/>
  <c r="AJ197" i="1"/>
  <c r="AK197" i="1"/>
  <c r="AL197" i="1"/>
  <c r="AO197" i="1"/>
  <c r="AP197" i="1"/>
  <c r="AV197" i="1"/>
  <c r="AW197" i="1"/>
  <c r="AX197" i="1"/>
  <c r="BC197" i="1"/>
  <c r="BD197" i="1"/>
  <c r="BF197" i="1"/>
  <c r="BH197" i="1"/>
  <c r="BI197" i="1"/>
  <c r="BJ197" i="1"/>
  <c r="J198" i="1"/>
  <c r="K198" i="1"/>
  <c r="L198" i="1"/>
  <c r="Z198" i="1"/>
  <c r="AB198" i="1"/>
  <c r="AC198" i="1"/>
  <c r="AD198" i="1"/>
  <c r="AE198" i="1"/>
  <c r="AF198" i="1"/>
  <c r="AG198" i="1"/>
  <c r="AH198" i="1"/>
  <c r="AJ198" i="1"/>
  <c r="AK198" i="1"/>
  <c r="AL198" i="1"/>
  <c r="AO198" i="1"/>
  <c r="AP198" i="1"/>
  <c r="AV198" i="1"/>
  <c r="AW198" i="1"/>
  <c r="AX198" i="1"/>
  <c r="BC198" i="1"/>
  <c r="BD198" i="1"/>
  <c r="BF198" i="1"/>
  <c r="BH198" i="1"/>
  <c r="BI198" i="1"/>
  <c r="BJ198" i="1"/>
  <c r="J199" i="1"/>
  <c r="K199" i="1"/>
  <c r="L199" i="1"/>
  <c r="Z199" i="1"/>
  <c r="AB199" i="1"/>
  <c r="AC199" i="1"/>
  <c r="AD199" i="1"/>
  <c r="AE199" i="1"/>
  <c r="AF199" i="1"/>
  <c r="AG199" i="1"/>
  <c r="AH199" i="1"/>
  <c r="AJ199" i="1"/>
  <c r="AK199" i="1"/>
  <c r="AL199" i="1"/>
  <c r="AO199" i="1"/>
  <c r="AP199" i="1"/>
  <c r="AV199" i="1"/>
  <c r="AW199" i="1"/>
  <c r="AX199" i="1"/>
  <c r="BC199" i="1"/>
  <c r="BD199" i="1"/>
  <c r="BF199" i="1"/>
  <c r="BH199" i="1"/>
  <c r="BI199" i="1"/>
  <c r="BJ199" i="1"/>
  <c r="J200" i="1"/>
  <c r="K200" i="1"/>
  <c r="L200" i="1"/>
  <c r="Z200" i="1"/>
  <c r="AB200" i="1"/>
  <c r="AC200" i="1"/>
  <c r="AD200" i="1"/>
  <c r="AE200" i="1"/>
  <c r="AF200" i="1"/>
  <c r="AG200" i="1"/>
  <c r="AH200" i="1"/>
  <c r="AJ200" i="1"/>
  <c r="AK200" i="1"/>
  <c r="AL200" i="1"/>
  <c r="AO200" i="1"/>
  <c r="AP200" i="1"/>
  <c r="AV200" i="1"/>
  <c r="AW200" i="1"/>
  <c r="AX200" i="1"/>
  <c r="BC200" i="1"/>
  <c r="BD200" i="1"/>
  <c r="BF200" i="1"/>
  <c r="BH200" i="1"/>
  <c r="BI200" i="1"/>
  <c r="BJ200" i="1"/>
  <c r="J201" i="1"/>
  <c r="K201" i="1"/>
  <c r="L201" i="1"/>
  <c r="Z201" i="1"/>
  <c r="AB201" i="1"/>
  <c r="AC201" i="1"/>
  <c r="AD201" i="1"/>
  <c r="AE201" i="1"/>
  <c r="AF201" i="1"/>
  <c r="AG201" i="1"/>
  <c r="AH201" i="1"/>
  <c r="AJ201" i="1"/>
  <c r="AK201" i="1"/>
  <c r="AL201" i="1"/>
  <c r="AO201" i="1"/>
  <c r="AP201" i="1"/>
  <c r="AV201" i="1"/>
  <c r="AW201" i="1"/>
  <c r="AX201" i="1"/>
  <c r="BC201" i="1"/>
  <c r="BD201" i="1"/>
  <c r="BF201" i="1"/>
  <c r="BH201" i="1"/>
  <c r="BI201" i="1"/>
  <c r="BJ201" i="1"/>
  <c r="J202" i="1"/>
  <c r="K202" i="1"/>
  <c r="L202" i="1"/>
  <c r="Z202" i="1"/>
  <c r="AB202" i="1"/>
  <c r="AC202" i="1"/>
  <c r="AD202" i="1"/>
  <c r="AE202" i="1"/>
  <c r="AF202" i="1"/>
  <c r="AG202" i="1"/>
  <c r="AH202" i="1"/>
  <c r="AJ202" i="1"/>
  <c r="AK202" i="1"/>
  <c r="AL202" i="1"/>
  <c r="AO202" i="1"/>
  <c r="AP202" i="1"/>
  <c r="AV202" i="1"/>
  <c r="AW202" i="1"/>
  <c r="AX202" i="1"/>
  <c r="BC202" i="1"/>
  <c r="BD202" i="1"/>
  <c r="BF202" i="1"/>
  <c r="BH202" i="1"/>
  <c r="BI202" i="1"/>
  <c r="BJ202" i="1"/>
  <c r="J203" i="1"/>
  <c r="K203" i="1"/>
  <c r="L203" i="1"/>
  <c r="Z203" i="1"/>
  <c r="AB203" i="1"/>
  <c r="AC203" i="1"/>
  <c r="AD203" i="1"/>
  <c r="AE203" i="1"/>
  <c r="AF203" i="1"/>
  <c r="AG203" i="1"/>
  <c r="AH203" i="1"/>
  <c r="AJ203" i="1"/>
  <c r="AK203" i="1"/>
  <c r="AL203" i="1"/>
  <c r="AO203" i="1"/>
  <c r="AP203" i="1"/>
  <c r="AV203" i="1"/>
  <c r="AW203" i="1"/>
  <c r="AX203" i="1"/>
  <c r="BC203" i="1"/>
  <c r="BD203" i="1"/>
  <c r="BF203" i="1"/>
  <c r="BH203" i="1"/>
  <c r="BI203" i="1"/>
  <c r="BJ203" i="1"/>
  <c r="J204" i="1"/>
  <c r="K204" i="1"/>
  <c r="L204" i="1"/>
  <c r="Z204" i="1"/>
  <c r="AB204" i="1"/>
  <c r="AC204" i="1"/>
  <c r="AD204" i="1"/>
  <c r="AE204" i="1"/>
  <c r="AF204" i="1"/>
  <c r="AG204" i="1"/>
  <c r="AH204" i="1"/>
  <c r="AJ204" i="1"/>
  <c r="AK204" i="1"/>
  <c r="AL204" i="1"/>
  <c r="AO204" i="1"/>
  <c r="AP204" i="1"/>
  <c r="AV204" i="1"/>
  <c r="AW204" i="1"/>
  <c r="AX204" i="1"/>
  <c r="BC204" i="1"/>
  <c r="BD204" i="1"/>
  <c r="BF204" i="1"/>
  <c r="BH204" i="1"/>
  <c r="BI204" i="1"/>
  <c r="BJ204" i="1"/>
  <c r="J205" i="1"/>
  <c r="K205" i="1"/>
  <c r="L205" i="1"/>
  <c r="Z205" i="1"/>
  <c r="AB205" i="1"/>
  <c r="AC205" i="1"/>
  <c r="AD205" i="1"/>
  <c r="AE205" i="1"/>
  <c r="AF205" i="1"/>
  <c r="AG205" i="1"/>
  <c r="AH205" i="1"/>
  <c r="AJ205" i="1"/>
  <c r="AK205" i="1"/>
  <c r="AL205" i="1"/>
  <c r="AO205" i="1"/>
  <c r="AP205" i="1"/>
  <c r="AV205" i="1"/>
  <c r="AW205" i="1"/>
  <c r="AX205" i="1"/>
  <c r="BC205" i="1"/>
  <c r="BD205" i="1"/>
  <c r="BF205" i="1"/>
  <c r="BH205" i="1"/>
  <c r="BI205" i="1"/>
  <c r="BJ205" i="1"/>
  <c r="J206" i="1"/>
  <c r="K206" i="1"/>
  <c r="L206" i="1"/>
  <c r="Z206" i="1"/>
  <c r="AB206" i="1"/>
  <c r="AC206" i="1"/>
  <c r="AD206" i="1"/>
  <c r="AE206" i="1"/>
  <c r="AF206" i="1"/>
  <c r="AG206" i="1"/>
  <c r="AH206" i="1"/>
  <c r="AJ206" i="1"/>
  <c r="AK206" i="1"/>
  <c r="AL206" i="1"/>
  <c r="AO206" i="1"/>
  <c r="AP206" i="1"/>
  <c r="AV206" i="1"/>
  <c r="AW206" i="1"/>
  <c r="AX206" i="1"/>
  <c r="BC206" i="1"/>
  <c r="BD206" i="1"/>
  <c r="BF206" i="1"/>
  <c r="BH206" i="1"/>
  <c r="BI206" i="1"/>
  <c r="BJ206" i="1"/>
  <c r="J207" i="1"/>
  <c r="K207" i="1"/>
  <c r="L207" i="1"/>
  <c r="Z207" i="1"/>
  <c r="AB207" i="1"/>
  <c r="AC207" i="1"/>
  <c r="AD207" i="1"/>
  <c r="AE207" i="1"/>
  <c r="AF207" i="1"/>
  <c r="AG207" i="1"/>
  <c r="AH207" i="1"/>
  <c r="AJ207" i="1"/>
  <c r="AK207" i="1"/>
  <c r="AL207" i="1"/>
  <c r="AO207" i="1"/>
  <c r="AP207" i="1"/>
  <c r="AV207" i="1"/>
  <c r="AW207" i="1"/>
  <c r="AX207" i="1"/>
  <c r="BC207" i="1"/>
  <c r="BD207" i="1"/>
  <c r="BF207" i="1"/>
  <c r="BH207" i="1"/>
  <c r="BI207" i="1"/>
  <c r="BJ207" i="1"/>
  <c r="J208" i="1"/>
  <c r="K208" i="1"/>
  <c r="L208" i="1"/>
  <c r="Z208" i="1"/>
  <c r="AB208" i="1"/>
  <c r="AC208" i="1"/>
  <c r="AD208" i="1"/>
  <c r="AE208" i="1"/>
  <c r="AF208" i="1"/>
  <c r="AG208" i="1"/>
  <c r="AH208" i="1"/>
  <c r="AJ208" i="1"/>
  <c r="AK208" i="1"/>
  <c r="AL208" i="1"/>
  <c r="AO208" i="1"/>
  <c r="AP208" i="1"/>
  <c r="AV208" i="1"/>
  <c r="AW208" i="1"/>
  <c r="AX208" i="1"/>
  <c r="BC208" i="1"/>
  <c r="BD208" i="1"/>
  <c r="BF208" i="1"/>
  <c r="BH208" i="1"/>
  <c r="BI208" i="1"/>
  <c r="BJ208" i="1"/>
  <c r="J209" i="1"/>
  <c r="K209" i="1"/>
  <c r="L209" i="1"/>
  <c r="Z209" i="1"/>
  <c r="AB209" i="1"/>
  <c r="AC209" i="1"/>
  <c r="AD209" i="1"/>
  <c r="AE209" i="1"/>
  <c r="AF209" i="1"/>
  <c r="AG209" i="1"/>
  <c r="AH209" i="1"/>
  <c r="AJ209" i="1"/>
  <c r="AK209" i="1"/>
  <c r="AL209" i="1"/>
  <c r="AO209" i="1"/>
  <c r="AP209" i="1"/>
  <c r="AV209" i="1"/>
  <c r="AW209" i="1"/>
  <c r="AX209" i="1"/>
  <c r="BC209" i="1"/>
  <c r="BD209" i="1"/>
  <c r="BF209" i="1"/>
  <c r="BH209" i="1"/>
  <c r="BI209" i="1"/>
  <c r="BJ209" i="1"/>
  <c r="J210" i="1"/>
  <c r="K210" i="1"/>
  <c r="L210" i="1"/>
  <c r="Z210" i="1"/>
  <c r="AB210" i="1"/>
  <c r="AC210" i="1"/>
  <c r="AD210" i="1"/>
  <c r="AE210" i="1"/>
  <c r="AF210" i="1"/>
  <c r="AG210" i="1"/>
  <c r="AH210" i="1"/>
  <c r="AJ210" i="1"/>
  <c r="AK210" i="1"/>
  <c r="AL210" i="1"/>
  <c r="AO210" i="1"/>
  <c r="AP210" i="1"/>
  <c r="AV210" i="1"/>
  <c r="AW210" i="1"/>
  <c r="AX210" i="1"/>
  <c r="BC210" i="1"/>
  <c r="BD210" i="1"/>
  <c r="BF210" i="1"/>
  <c r="BH210" i="1"/>
  <c r="BI210" i="1"/>
  <c r="BJ210" i="1"/>
  <c r="J211" i="1"/>
  <c r="K211" i="1"/>
  <c r="L211" i="1"/>
  <c r="Z211" i="1"/>
  <c r="AB211" i="1"/>
  <c r="AC211" i="1"/>
  <c r="AD211" i="1"/>
  <c r="AE211" i="1"/>
  <c r="AF211" i="1"/>
  <c r="AG211" i="1"/>
  <c r="AH211" i="1"/>
  <c r="AJ211" i="1"/>
  <c r="AK211" i="1"/>
  <c r="AL211" i="1"/>
  <c r="AO211" i="1"/>
  <c r="AP211" i="1"/>
  <c r="AV211" i="1"/>
  <c r="AW211" i="1"/>
  <c r="AX211" i="1"/>
  <c r="BC211" i="1"/>
  <c r="BD211" i="1"/>
  <c r="BF211" i="1"/>
  <c r="BH211" i="1"/>
  <c r="BI211" i="1"/>
  <c r="BJ211" i="1"/>
  <c r="J212" i="1"/>
  <c r="K212" i="1"/>
  <c r="L212" i="1"/>
  <c r="Z212" i="1"/>
  <c r="AB212" i="1"/>
  <c r="AC212" i="1"/>
  <c r="AD212" i="1"/>
  <c r="AE212" i="1"/>
  <c r="AF212" i="1"/>
  <c r="AG212" i="1"/>
  <c r="AH212" i="1"/>
  <c r="AJ212" i="1"/>
  <c r="AK212" i="1"/>
  <c r="AL212" i="1"/>
  <c r="AO212" i="1"/>
  <c r="AP212" i="1"/>
  <c r="AV212" i="1"/>
  <c r="AW212" i="1"/>
  <c r="AX212" i="1"/>
  <c r="BC212" i="1"/>
  <c r="BD212" i="1"/>
  <c r="BF212" i="1"/>
  <c r="BH212" i="1"/>
  <c r="BI212" i="1"/>
  <c r="BJ212" i="1"/>
  <c r="J213" i="1"/>
  <c r="K213" i="1"/>
  <c r="L213" i="1"/>
  <c r="Z213" i="1"/>
  <c r="AB213" i="1"/>
  <c r="AC213" i="1"/>
  <c r="AD213" i="1"/>
  <c r="AE213" i="1"/>
  <c r="AF213" i="1"/>
  <c r="AG213" i="1"/>
  <c r="AH213" i="1"/>
  <c r="AJ213" i="1"/>
  <c r="AK213" i="1"/>
  <c r="AL213" i="1"/>
  <c r="AO213" i="1"/>
  <c r="AP213" i="1"/>
  <c r="AV213" i="1"/>
  <c r="AW213" i="1"/>
  <c r="AX213" i="1"/>
  <c r="BC213" i="1"/>
  <c r="BD213" i="1"/>
  <c r="BF213" i="1"/>
  <c r="BH213" i="1"/>
  <c r="BI213" i="1"/>
  <c r="BJ213" i="1"/>
  <c r="J214" i="1"/>
  <c r="K214" i="1"/>
  <c r="L214" i="1"/>
  <c r="Z214" i="1"/>
  <c r="AB214" i="1"/>
  <c r="AC214" i="1"/>
  <c r="AD214" i="1"/>
  <c r="AE214" i="1"/>
  <c r="AF214" i="1"/>
  <c r="AG214" i="1"/>
  <c r="AH214" i="1"/>
  <c r="AJ214" i="1"/>
  <c r="AK214" i="1"/>
  <c r="AL214" i="1"/>
  <c r="AO214" i="1"/>
  <c r="AP214" i="1"/>
  <c r="AV214" i="1"/>
  <c r="AW214" i="1"/>
  <c r="AX214" i="1"/>
  <c r="BC214" i="1"/>
  <c r="BD214" i="1"/>
  <c r="BF214" i="1"/>
  <c r="BH214" i="1"/>
  <c r="BI214" i="1"/>
  <c r="BJ214" i="1"/>
  <c r="J215" i="1"/>
  <c r="K215" i="1"/>
  <c r="L215" i="1"/>
  <c r="Z215" i="1"/>
  <c r="AB215" i="1"/>
  <c r="AC215" i="1"/>
  <c r="AD215" i="1"/>
  <c r="AE215" i="1"/>
  <c r="AF215" i="1"/>
  <c r="AG215" i="1"/>
  <c r="AH215" i="1"/>
  <c r="AJ215" i="1"/>
  <c r="AK215" i="1"/>
  <c r="AL215" i="1"/>
  <c r="AO215" i="1"/>
  <c r="AP215" i="1"/>
  <c r="AV215" i="1"/>
  <c r="AW215" i="1"/>
  <c r="AX215" i="1"/>
  <c r="BC215" i="1"/>
  <c r="BD215" i="1"/>
  <c r="BF215" i="1"/>
  <c r="BH215" i="1"/>
  <c r="BI215" i="1"/>
  <c r="BJ215" i="1"/>
  <c r="J216" i="1"/>
  <c r="K216" i="1"/>
  <c r="L216" i="1"/>
  <c r="Z216" i="1"/>
  <c r="AB216" i="1"/>
  <c r="AC216" i="1"/>
  <c r="AD216" i="1"/>
  <c r="AE216" i="1"/>
  <c r="AF216" i="1"/>
  <c r="AG216" i="1"/>
  <c r="AH216" i="1"/>
  <c r="AJ216" i="1"/>
  <c r="AK216" i="1"/>
  <c r="AL216" i="1"/>
  <c r="AO216" i="1"/>
  <c r="AP216" i="1"/>
  <c r="AV216" i="1"/>
  <c r="AW216" i="1"/>
  <c r="AX216" i="1"/>
  <c r="BC216" i="1"/>
  <c r="BD216" i="1"/>
  <c r="BF216" i="1"/>
  <c r="BH216" i="1"/>
  <c r="BI216" i="1"/>
  <c r="BJ216" i="1"/>
  <c r="J217" i="1"/>
  <c r="K217" i="1"/>
  <c r="L217" i="1"/>
  <c r="Z217" i="1"/>
  <c r="AB217" i="1"/>
  <c r="AC217" i="1"/>
  <c r="AD217" i="1"/>
  <c r="AE217" i="1"/>
  <c r="AF217" i="1"/>
  <c r="AG217" i="1"/>
  <c r="AH217" i="1"/>
  <c r="AJ217" i="1"/>
  <c r="AK217" i="1"/>
  <c r="AL217" i="1"/>
  <c r="AO217" i="1"/>
  <c r="AP217" i="1"/>
  <c r="AV217" i="1"/>
  <c r="AW217" i="1"/>
  <c r="AX217" i="1"/>
  <c r="BC217" i="1"/>
  <c r="BD217" i="1"/>
  <c r="BF217" i="1"/>
  <c r="BH217" i="1"/>
  <c r="BI217" i="1"/>
  <c r="BJ217" i="1"/>
  <c r="J218" i="1"/>
  <c r="K218" i="1"/>
  <c r="L218" i="1"/>
  <c r="Z218" i="1"/>
  <c r="AB218" i="1"/>
  <c r="AC218" i="1"/>
  <c r="AD218" i="1"/>
  <c r="AE218" i="1"/>
  <c r="AF218" i="1"/>
  <c r="AG218" i="1"/>
  <c r="AH218" i="1"/>
  <c r="AJ218" i="1"/>
  <c r="AK218" i="1"/>
  <c r="AL218" i="1"/>
  <c r="AO218" i="1"/>
  <c r="AP218" i="1"/>
  <c r="AV218" i="1"/>
  <c r="AW218" i="1"/>
  <c r="AX218" i="1"/>
  <c r="BC218" i="1"/>
  <c r="BD218" i="1"/>
  <c r="BF218" i="1"/>
  <c r="BH218" i="1"/>
  <c r="BI218" i="1"/>
  <c r="BJ218" i="1"/>
  <c r="J219" i="1"/>
  <c r="K219" i="1"/>
  <c r="L219" i="1"/>
  <c r="Z219" i="1"/>
  <c r="AB219" i="1"/>
  <c r="AC219" i="1"/>
  <c r="AD219" i="1"/>
  <c r="AE219" i="1"/>
  <c r="AF219" i="1"/>
  <c r="AG219" i="1"/>
  <c r="AH219" i="1"/>
  <c r="AJ219" i="1"/>
  <c r="AK219" i="1"/>
  <c r="AL219" i="1"/>
  <c r="AO219" i="1"/>
  <c r="AP219" i="1"/>
  <c r="AV219" i="1"/>
  <c r="AW219" i="1"/>
  <c r="AX219" i="1"/>
  <c r="BC219" i="1"/>
  <c r="BD219" i="1"/>
  <c r="BF219" i="1"/>
  <c r="BH219" i="1"/>
  <c r="BI219" i="1"/>
  <c r="BJ219" i="1"/>
  <c r="J220" i="1"/>
  <c r="K220" i="1"/>
  <c r="L220" i="1"/>
  <c r="Z220" i="1"/>
  <c r="AB220" i="1"/>
  <c r="AC220" i="1"/>
  <c r="AD220" i="1"/>
  <c r="AE220" i="1"/>
  <c r="AF220" i="1"/>
  <c r="AG220" i="1"/>
  <c r="AH220" i="1"/>
  <c r="AJ220" i="1"/>
  <c r="AK220" i="1"/>
  <c r="AL220" i="1"/>
  <c r="AO220" i="1"/>
  <c r="AP220" i="1"/>
  <c r="AV220" i="1"/>
  <c r="AW220" i="1"/>
  <c r="AX220" i="1"/>
  <c r="BC220" i="1"/>
  <c r="BD220" i="1"/>
  <c r="BF220" i="1"/>
  <c r="BH220" i="1"/>
  <c r="BI220" i="1"/>
  <c r="BJ220" i="1"/>
  <c r="J221" i="1"/>
  <c r="K221" i="1"/>
  <c r="L221" i="1"/>
  <c r="Z221" i="1"/>
  <c r="AB221" i="1"/>
  <c r="AC221" i="1"/>
  <c r="AD221" i="1"/>
  <c r="AE221" i="1"/>
  <c r="AF221" i="1"/>
  <c r="AG221" i="1"/>
  <c r="AH221" i="1"/>
  <c r="AJ221" i="1"/>
  <c r="AK221" i="1"/>
  <c r="AL221" i="1"/>
  <c r="AO221" i="1"/>
  <c r="AP221" i="1"/>
  <c r="AV221" i="1"/>
  <c r="AW221" i="1"/>
  <c r="AX221" i="1"/>
  <c r="BC221" i="1"/>
  <c r="BD221" i="1"/>
  <c r="BF221" i="1"/>
  <c r="BH221" i="1"/>
  <c r="BI221" i="1"/>
  <c r="BJ221" i="1"/>
  <c r="J222" i="1"/>
  <c r="K222" i="1"/>
  <c r="L222" i="1"/>
  <c r="Z222" i="1"/>
  <c r="AB222" i="1"/>
  <c r="AC222" i="1"/>
  <c r="AD222" i="1"/>
  <c r="AE222" i="1"/>
  <c r="AF222" i="1"/>
  <c r="AG222" i="1"/>
  <c r="AH222" i="1"/>
  <c r="AJ222" i="1"/>
  <c r="AK222" i="1"/>
  <c r="AL222" i="1"/>
  <c r="AO222" i="1"/>
  <c r="AP222" i="1"/>
  <c r="AV222" i="1"/>
  <c r="AW222" i="1"/>
  <c r="AX222" i="1"/>
  <c r="BC222" i="1"/>
  <c r="BD222" i="1"/>
  <c r="BF222" i="1"/>
  <c r="BH222" i="1"/>
  <c r="BI222" i="1"/>
  <c r="BJ222" i="1"/>
  <c r="J223" i="1"/>
  <c r="K223" i="1"/>
  <c r="L223" i="1"/>
  <c r="Z223" i="1"/>
  <c r="AB223" i="1"/>
  <c r="AC223" i="1"/>
  <c r="AD223" i="1"/>
  <c r="AE223" i="1"/>
  <c r="AF223" i="1"/>
  <c r="AG223" i="1"/>
  <c r="AH223" i="1"/>
  <c r="AJ223" i="1"/>
  <c r="AK223" i="1"/>
  <c r="AL223" i="1"/>
  <c r="AO223" i="1"/>
  <c r="AP223" i="1"/>
  <c r="AV223" i="1"/>
  <c r="AW223" i="1"/>
  <c r="AX223" i="1"/>
  <c r="BC223" i="1"/>
  <c r="BD223" i="1"/>
  <c r="BF223" i="1"/>
  <c r="BH223" i="1"/>
  <c r="BI223" i="1"/>
  <c r="BJ223" i="1"/>
  <c r="J224" i="1"/>
  <c r="K224" i="1"/>
  <c r="L224" i="1"/>
  <c r="Z224" i="1"/>
  <c r="AB224" i="1"/>
  <c r="AC224" i="1"/>
  <c r="AD224" i="1"/>
  <c r="AE224" i="1"/>
  <c r="AF224" i="1"/>
  <c r="AG224" i="1"/>
  <c r="AH224" i="1"/>
  <c r="AJ224" i="1"/>
  <c r="AK224" i="1"/>
  <c r="AL224" i="1"/>
  <c r="AO224" i="1"/>
  <c r="AP224" i="1"/>
  <c r="AV224" i="1"/>
  <c r="AW224" i="1"/>
  <c r="AX224" i="1"/>
  <c r="BC224" i="1"/>
  <c r="BD224" i="1"/>
  <c r="BF224" i="1"/>
  <c r="BH224" i="1"/>
  <c r="BI224" i="1"/>
  <c r="BJ224" i="1"/>
  <c r="J225" i="1"/>
  <c r="K225" i="1"/>
  <c r="L225" i="1"/>
  <c r="Z225" i="1"/>
  <c r="AB225" i="1"/>
  <c r="AC225" i="1"/>
  <c r="AD225" i="1"/>
  <c r="AE225" i="1"/>
  <c r="AF225" i="1"/>
  <c r="AG225" i="1"/>
  <c r="AH225" i="1"/>
  <c r="AJ225" i="1"/>
  <c r="AK225" i="1"/>
  <c r="AL225" i="1"/>
  <c r="AO225" i="1"/>
  <c r="AP225" i="1"/>
  <c r="AV225" i="1"/>
  <c r="AW225" i="1"/>
  <c r="AX225" i="1"/>
  <c r="BC225" i="1"/>
  <c r="BD225" i="1"/>
  <c r="BF225" i="1"/>
  <c r="BH225" i="1"/>
  <c r="BI225" i="1"/>
  <c r="BJ225" i="1"/>
  <c r="J226" i="1"/>
  <c r="K226" i="1"/>
  <c r="L226" i="1"/>
  <c r="Z226" i="1"/>
  <c r="AB226" i="1"/>
  <c r="AC226" i="1"/>
  <c r="AD226" i="1"/>
  <c r="AE226" i="1"/>
  <c r="AF226" i="1"/>
  <c r="AG226" i="1"/>
  <c r="AH226" i="1"/>
  <c r="AJ226" i="1"/>
  <c r="AK226" i="1"/>
  <c r="AL226" i="1"/>
  <c r="AO226" i="1"/>
  <c r="AP226" i="1"/>
  <c r="AV226" i="1"/>
  <c r="AW226" i="1"/>
  <c r="AX226" i="1"/>
  <c r="BC226" i="1"/>
  <c r="BD226" i="1"/>
  <c r="BF226" i="1"/>
  <c r="BH226" i="1"/>
  <c r="BI226" i="1"/>
  <c r="BJ226" i="1"/>
  <c r="J227" i="1"/>
  <c r="K227" i="1"/>
  <c r="L227" i="1"/>
  <c r="Z227" i="1"/>
  <c r="AB227" i="1"/>
  <c r="AC227" i="1"/>
  <c r="AD227" i="1"/>
  <c r="AE227" i="1"/>
  <c r="AF227" i="1"/>
  <c r="AG227" i="1"/>
  <c r="AH227" i="1"/>
  <c r="AJ227" i="1"/>
  <c r="AK227" i="1"/>
  <c r="AL227" i="1"/>
  <c r="AO227" i="1"/>
  <c r="AP227" i="1"/>
  <c r="AV227" i="1"/>
  <c r="AW227" i="1"/>
  <c r="AX227" i="1"/>
  <c r="BC227" i="1"/>
  <c r="BD227" i="1"/>
  <c r="BF227" i="1"/>
  <c r="BH227" i="1"/>
  <c r="BI227" i="1"/>
  <c r="BJ227" i="1"/>
  <c r="J228" i="1"/>
  <c r="K228" i="1"/>
  <c r="L228" i="1"/>
  <c r="Z228" i="1"/>
  <c r="AB228" i="1"/>
  <c r="AC228" i="1"/>
  <c r="AD228" i="1"/>
  <c r="AE228" i="1"/>
  <c r="AF228" i="1"/>
  <c r="AG228" i="1"/>
  <c r="AH228" i="1"/>
  <c r="AJ228" i="1"/>
  <c r="AK228" i="1"/>
  <c r="AL228" i="1"/>
  <c r="AO228" i="1"/>
  <c r="AP228" i="1"/>
  <c r="AV228" i="1"/>
  <c r="AW228" i="1"/>
  <c r="AX228" i="1"/>
  <c r="BC228" i="1"/>
  <c r="BD228" i="1"/>
  <c r="BF228" i="1"/>
  <c r="BH228" i="1"/>
  <c r="BI228" i="1"/>
  <c r="BJ228" i="1"/>
  <c r="J229" i="1"/>
  <c r="K229" i="1"/>
  <c r="L229" i="1"/>
  <c r="Z229" i="1"/>
  <c r="AB229" i="1"/>
  <c r="AC229" i="1"/>
  <c r="AD229" i="1"/>
  <c r="AE229" i="1"/>
  <c r="AF229" i="1"/>
  <c r="AG229" i="1"/>
  <c r="AH229" i="1"/>
  <c r="AJ229" i="1"/>
  <c r="AK229" i="1"/>
  <c r="AL229" i="1"/>
  <c r="AO229" i="1"/>
  <c r="AP229" i="1"/>
  <c r="AV229" i="1"/>
  <c r="AW229" i="1"/>
  <c r="AX229" i="1"/>
  <c r="BC229" i="1"/>
  <c r="BD229" i="1"/>
  <c r="BF229" i="1"/>
  <c r="BH229" i="1"/>
  <c r="BI229" i="1"/>
  <c r="BJ229" i="1"/>
  <c r="L230" i="1"/>
  <c r="C2" i="2"/>
  <c r="G2" i="2"/>
  <c r="C4" i="2"/>
  <c r="G4" i="2"/>
  <c r="C6" i="2"/>
  <c r="G6" i="2"/>
  <c r="C8" i="2"/>
  <c r="G8" i="2"/>
  <c r="E11" i="2"/>
  <c r="F11" i="2"/>
  <c r="G11" i="2"/>
  <c r="I11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2" i="2"/>
  <c r="F42" i="2"/>
  <c r="G42" i="2"/>
  <c r="I42" i="2"/>
  <c r="E43" i="2"/>
  <c r="F43" i="2"/>
  <c r="G43" i="2"/>
  <c r="I43" i="2"/>
  <c r="G44" i="2"/>
  <c r="C2" i="3"/>
  <c r="F2" i="3"/>
  <c r="C4" i="3"/>
  <c r="F4" i="3"/>
  <c r="C6" i="3"/>
  <c r="F6" i="3"/>
  <c r="C8" i="3"/>
  <c r="F8" i="3"/>
  <c r="F28" i="4" l="1"/>
  <c r="I28" i="4"/>
  <c r="I29" i="4" l="1"/>
</calcChain>
</file>

<file path=xl/sharedStrings.xml><?xml version="1.0" encoding="utf-8"?>
<sst xmlns="http://schemas.openxmlformats.org/spreadsheetml/2006/main" count="2775" uniqueCount="767">
  <si>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</si>
  <si>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</si>
  <si>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</si>
  <si>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</si>
  <si>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</si>
  <si>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</si>
  <si>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</si>
  <si>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</si>
  <si>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</si>
  <si>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</si>
  <si>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</si>
  <si>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</si>
  <si>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</si>
  <si>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</si>
  <si>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</si>
  <si>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</si>
  <si>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</si>
  <si>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</si>
  <si>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</si>
  <si>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</si>
  <si>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</si>
  <si>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</si>
  <si>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</si>
  <si>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</si>
  <si>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</si>
  <si>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</si>
  <si>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</si>
  <si>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</si>
  <si>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</si>
  <si>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</si>
  <si>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</si>
  <si>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</si>
  <si>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</si>
  <si>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</si>
  <si>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</si>
  <si>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</si>
  <si>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</si>
  <si>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</si>
  <si>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</si>
  <si>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</si>
  <si>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</si>
  <si>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</si>
  <si>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</si>
  <si>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</si>
  <si>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</si>
  <si>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</si>
  <si>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</si>
  <si>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</si>
  <si>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</si>
  <si>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</si>
  <si>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</si>
  <si>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</si>
  <si>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</si>
  <si>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</si>
  <si>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</si>
  <si>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</si>
  <si>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</si>
  <si>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</si>
  <si>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</si>
  <si>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</si>
  <si>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</si>
  <si>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</si>
  <si>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</si>
  <si>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</si>
  <si>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</si>
  <si>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</si>
  <si>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</si>
  <si>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</si>
  <si>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</si>
  <si>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</si>
  <si>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</si>
  <si>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</si>
  <si>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</si>
  <si>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</si>
  <si>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</si>
  <si>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</si>
  <si>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</si>
  <si>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</si>
  <si>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</si>
  <si>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</si>
  <si>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</si>
  <si>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</si>
  <si>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</si>
  <si>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</si>
  <si>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</si>
  <si>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</si>
  <si>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</si>
  <si>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</si>
  <si>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</si>
  <si>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</si>
  <si>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</si>
  <si>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</si>
  <si>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</si>
  <si>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</si>
  <si>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</si>
  <si>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</si>
  <si>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</si>
  <si>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</si>
  <si>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</si>
  <si>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</si>
  <si>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</si>
  <si>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</si>
  <si>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</si>
  <si>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</si>
  <si>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</si>
  <si>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</si>
  <si>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</si>
  <si>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</si>
  <si>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</si>
  <si>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</si>
  <si>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</si>
  <si>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</si>
  <si>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</si>
  <si>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</si>
  <si>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</si>
  <si>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</si>
  <si>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</si>
  <si>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</si>
  <si>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</si>
  <si>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</si>
  <si>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</si>
  <si>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</si>
  <si>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</si>
  <si>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</si>
  <si>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</si>
  <si>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</si>
  <si>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</si>
  <si>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</si>
  <si>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</si>
  <si>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</si>
  <si>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</si>
  <si>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</si>
  <si>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</si>
  <si>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</si>
  <si>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</si>
  <si>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</si>
  <si>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</si>
  <si>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</si>
  <si>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</si>
  <si>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</si>
  <si>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</si>
  <si>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</si>
  <si>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</si>
  <si>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</si>
  <si>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</si>
  <si>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</si>
  <si>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</si>
  <si>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</si>
  <si>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</si>
  <si>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</si>
  <si>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</si>
  <si>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Poznámka:</t>
  </si>
  <si>
    <t>Kód</t>
  </si>
  <si>
    <t>0</t>
  </si>
  <si>
    <t>078889117R00</t>
  </si>
  <si>
    <t>Varianta:</t>
  </si>
  <si>
    <t>317941123RU5</t>
  </si>
  <si>
    <t>311270045RAA</t>
  </si>
  <si>
    <t>317121022VL</t>
  </si>
  <si>
    <t>320360542R00</t>
  </si>
  <si>
    <t>600VD</t>
  </si>
  <si>
    <t>60001VD</t>
  </si>
  <si>
    <t>342013124RT1</t>
  </si>
  <si>
    <t>347014111VL</t>
  </si>
  <si>
    <t>347014111VL2</t>
  </si>
  <si>
    <t>347013216VL</t>
  </si>
  <si>
    <t>342255020RT2</t>
  </si>
  <si>
    <t>346244361VL</t>
  </si>
  <si>
    <t>416013224R00</t>
  </si>
  <si>
    <t>417320210RAB</t>
  </si>
  <si>
    <t>413351211T00</t>
  </si>
  <si>
    <t>440351217R00</t>
  </si>
  <si>
    <t>440351218R00</t>
  </si>
  <si>
    <t>614471711T00</t>
  </si>
  <si>
    <t>611100013RA0</t>
  </si>
  <si>
    <t>612100031RA0</t>
  </si>
  <si>
    <t>622315732RT5</t>
  </si>
  <si>
    <t>632411105RT1</t>
  </si>
  <si>
    <t>632430221RT3</t>
  </si>
  <si>
    <t>642942111VL</t>
  </si>
  <si>
    <t>641952341VL</t>
  </si>
  <si>
    <t>713</t>
  </si>
  <si>
    <t>713111211VL</t>
  </si>
  <si>
    <t>713492432VT</t>
  </si>
  <si>
    <t>734</t>
  </si>
  <si>
    <t>734226422R00</t>
  </si>
  <si>
    <t>762</t>
  </si>
  <si>
    <t>762100010RA0</t>
  </si>
  <si>
    <t>762331811T00</t>
  </si>
  <si>
    <t>762100030VL</t>
  </si>
  <si>
    <t>764</t>
  </si>
  <si>
    <t>764551603R00</t>
  </si>
  <si>
    <t>764551613R00</t>
  </si>
  <si>
    <t>766</t>
  </si>
  <si>
    <t>766661912VL</t>
  </si>
  <si>
    <t>767</t>
  </si>
  <si>
    <t>767162240VL</t>
  </si>
  <si>
    <t>771</t>
  </si>
  <si>
    <t>771101210RT1</t>
  </si>
  <si>
    <t>776</t>
  </si>
  <si>
    <t>776421100T00</t>
  </si>
  <si>
    <t>776521200RV1</t>
  </si>
  <si>
    <t>776511810RVL</t>
  </si>
  <si>
    <t>783</t>
  </si>
  <si>
    <t>783115150VL</t>
  </si>
  <si>
    <t>783781002R00</t>
  </si>
  <si>
    <t>784</t>
  </si>
  <si>
    <t>784442001RT2</t>
  </si>
  <si>
    <t>900      R04</t>
  </si>
  <si>
    <t>900      R05</t>
  </si>
  <si>
    <t>900      R24</t>
  </si>
  <si>
    <t>900      R45</t>
  </si>
  <si>
    <t>900      R25</t>
  </si>
  <si>
    <t>900      T49</t>
  </si>
  <si>
    <t>941940032RAA</t>
  </si>
  <si>
    <t>941941111R00</t>
  </si>
  <si>
    <t>941955003T00</t>
  </si>
  <si>
    <t>953981303R00</t>
  </si>
  <si>
    <t>968061126R00</t>
  </si>
  <si>
    <t>962031116R00</t>
  </si>
  <si>
    <t>962036123R00</t>
  </si>
  <si>
    <t>963016311R00</t>
  </si>
  <si>
    <t>974031121R00</t>
  </si>
  <si>
    <t>974031133R00</t>
  </si>
  <si>
    <t>H01</t>
  </si>
  <si>
    <t>998011003R00</t>
  </si>
  <si>
    <t>M21</t>
  </si>
  <si>
    <t>210810005RT1</t>
  </si>
  <si>
    <t>210810006RT1</t>
  </si>
  <si>
    <t>210810017RT1</t>
  </si>
  <si>
    <t>220060663VL</t>
  </si>
  <si>
    <t>M46</t>
  </si>
  <si>
    <t>460680022RT4</t>
  </si>
  <si>
    <t>M65</t>
  </si>
  <si>
    <t>650101921R00</t>
  </si>
  <si>
    <t>650101521R00</t>
  </si>
  <si>
    <t>650012411R00</t>
  </si>
  <si>
    <t>650012111VL</t>
  </si>
  <si>
    <t>M900VD</t>
  </si>
  <si>
    <t>90001VD</t>
  </si>
  <si>
    <t>90002VD</t>
  </si>
  <si>
    <t>90003VD</t>
  </si>
  <si>
    <t>90004VD</t>
  </si>
  <si>
    <t>90005VD</t>
  </si>
  <si>
    <t>90006VD</t>
  </si>
  <si>
    <t>90007VD</t>
  </si>
  <si>
    <t>90008VD</t>
  </si>
  <si>
    <t>90009VD</t>
  </si>
  <si>
    <t>90010VD</t>
  </si>
  <si>
    <t>90011VD</t>
  </si>
  <si>
    <t>90012VD</t>
  </si>
  <si>
    <t>90013VD</t>
  </si>
  <si>
    <t>90014VD</t>
  </si>
  <si>
    <t>90015VD</t>
  </si>
  <si>
    <t>90016VD</t>
  </si>
  <si>
    <t>90017VD</t>
  </si>
  <si>
    <t>90018VD</t>
  </si>
  <si>
    <t>90019VD</t>
  </si>
  <si>
    <t>90020VD</t>
  </si>
  <si>
    <t>S</t>
  </si>
  <si>
    <t>979990144R00</t>
  </si>
  <si>
    <t>979990110R00</t>
  </si>
  <si>
    <t>979990107R00</t>
  </si>
  <si>
    <t>979990121R00</t>
  </si>
  <si>
    <t>979990161R00</t>
  </si>
  <si>
    <t>979990181R00</t>
  </si>
  <si>
    <t>979990182R00</t>
  </si>
  <si>
    <t>979011211R00</t>
  </si>
  <si>
    <t>979011121R00</t>
  </si>
  <si>
    <t>979086213R00</t>
  </si>
  <si>
    <t>979083117R00</t>
  </si>
  <si>
    <t>979083191R00</t>
  </si>
  <si>
    <t>55345502VL</t>
  </si>
  <si>
    <t>55345503VL</t>
  </si>
  <si>
    <t>61160113VL</t>
  </si>
  <si>
    <t>55395100.VL</t>
  </si>
  <si>
    <t>5537000213</t>
  </si>
  <si>
    <t>54914630</t>
  </si>
  <si>
    <t>28342455</t>
  </si>
  <si>
    <t>61143066VL</t>
  </si>
  <si>
    <t>61143137VL</t>
  </si>
  <si>
    <t>553420407</t>
  </si>
  <si>
    <t>5534205605</t>
  </si>
  <si>
    <t>60775381</t>
  </si>
  <si>
    <t>60775390</t>
  </si>
  <si>
    <t>59531148</t>
  </si>
  <si>
    <t>553449088</t>
  </si>
  <si>
    <t>5534426261</t>
  </si>
  <si>
    <t>553449032</t>
  </si>
  <si>
    <t>62856101VL</t>
  </si>
  <si>
    <t>34828436VL</t>
  </si>
  <si>
    <t>34814108VL</t>
  </si>
  <si>
    <t>34814109VL</t>
  </si>
  <si>
    <t>60003VL</t>
  </si>
  <si>
    <t>58922176</t>
  </si>
  <si>
    <t>58953480</t>
  </si>
  <si>
    <t>58953476</t>
  </si>
  <si>
    <t>59321887</t>
  </si>
  <si>
    <t>35822001015</t>
  </si>
  <si>
    <t>35822001013</t>
  </si>
  <si>
    <t>34535444</t>
  </si>
  <si>
    <t>34536705</t>
  </si>
  <si>
    <t>34551618</t>
  </si>
  <si>
    <t>34536490</t>
  </si>
  <si>
    <t>48456411</t>
  </si>
  <si>
    <t>5511361505</t>
  </si>
  <si>
    <t>48485427</t>
  </si>
  <si>
    <t>42212300</t>
  </si>
  <si>
    <t>551210901</t>
  </si>
  <si>
    <t>283771VL</t>
  </si>
  <si>
    <t>19631442</t>
  </si>
  <si>
    <t>Prodloužení evekuačního výtahu a stavební úpravy 4.NP</t>
  </si>
  <si>
    <t>Stavební úpravy objektu Nového Pavilónu</t>
  </si>
  <si>
    <t>Areál Zámečku Střelice</t>
  </si>
  <si>
    <t>Zkrácený popis / Varianta</t>
  </si>
  <si>
    <t>Rozměry</t>
  </si>
  <si>
    <t>Všeobecné konstrukce a práce</t>
  </si>
  <si>
    <t>Provedení nátěru při opravách, zábradlí</t>
  </si>
  <si>
    <t>nátěr doplnění zábradlí u schodiště po zbourání příčky</t>
  </si>
  <si>
    <t>Zdi podpěrné a volné</t>
  </si>
  <si>
    <t>Osazení ocelových válcovaných nosníků  č.14-22</t>
  </si>
  <si>
    <t>včetně dodávky profilu U č.20</t>
  </si>
  <si>
    <t>Zdivo z tvárnic Ytong pero-drážka, tloušťka 30 cm</t>
  </si>
  <si>
    <t>tvárnice 600 x 250 x 300 mm, P 2 - 400</t>
  </si>
  <si>
    <t>Osazení překladu YTONG, světl. do 180 cm</t>
  </si>
  <si>
    <t>Zdi přehradní a opěrné</t>
  </si>
  <si>
    <t>Svařovaný spoj, 2 příložky 25 cm, 1str.,D do 32 mm</t>
  </si>
  <si>
    <t>svaření U profilů</t>
  </si>
  <si>
    <t>60001VL</t>
  </si>
  <si>
    <t>Očištění povrchu podlahy po stržení PVC a zátěřového koberce</t>
  </si>
  <si>
    <t>Stěny a příčky</t>
  </si>
  <si>
    <t>Příčka SDK tl.100mm,ocel.kce,2x oplášť.,RFI 12,5mm</t>
  </si>
  <si>
    <t>izolace tloušťky 40 mm, EI 90</t>
  </si>
  <si>
    <t>Předstěna SDK, tl.55 mm,1 x ocel. kce CD, 1 x RFI 12,5 mm, bez izolace</t>
  </si>
  <si>
    <t>Opláštění dřevěných sloupů</t>
  </si>
  <si>
    <t>Opláštění potrubí odvětrání</t>
  </si>
  <si>
    <t>Předstěna SDK,tl.320mm,1xocel.kce CD,2xMAI 12,5mm</t>
  </si>
  <si>
    <t>izolace minerální vata tl. 280 mm, lamda=0,038</t>
  </si>
  <si>
    <t>Příčky z desek Ytong tl. 5 cm</t>
  </si>
  <si>
    <t>desky 600 x 250 x 50 mm</t>
  </si>
  <si>
    <t>Zazdívka rýh po elektroinstalaci a rozvodu topení</t>
  </si>
  <si>
    <t>Stropy a stropní konstrukce (pro pozemní stavby)</t>
  </si>
  <si>
    <t>Podhled SDK,2x zav.dř.konstr.2x  RFI tl.12,5 mm</t>
  </si>
  <si>
    <t>Ztužující věnec z U tvarovek Ytong a dobetonování</t>
  </si>
  <si>
    <t>výztuž, U profil P3-550, šířka zdi 30 cm</t>
  </si>
  <si>
    <t>Podpěrná konstrukce nosníků do 4000 mm, do 5 kPa - zřízení</t>
  </si>
  <si>
    <t>pro zřízení překladů nad otvory</t>
  </si>
  <si>
    <t>Zastřešení</t>
  </si>
  <si>
    <t>Podpěrná konstrukce střech do 30 kPa - zřízení</t>
  </si>
  <si>
    <t>Podpěrná konstrukce střech do 30 kPa - odstranění</t>
  </si>
  <si>
    <t>Úprava povrchů vnitřní</t>
  </si>
  <si>
    <t>Vyspravení povrchu betonových konstrukcí reparační maltou tl. 10 mm</t>
  </si>
  <si>
    <t>předpokládá se cca do _x000D_
30% plochy</t>
  </si>
  <si>
    <t>Oprava omítek stropů vnitřních vápenocem.štukových</t>
  </si>
  <si>
    <t>Oprava omítek stěn vnitřních vápenocem. štukových</t>
  </si>
  <si>
    <t>Úprava povrchů vnější</t>
  </si>
  <si>
    <t>Zatepl.syst. PROFI, fasáda, miner.desky KV 100 mm</t>
  </si>
  <si>
    <t>s omítkou PROFI Silikatputz hlazenou, zrno 2 mm</t>
  </si>
  <si>
    <t>Podlahy a podlahové konstrukce</t>
  </si>
  <si>
    <t>Samonivelační stěrka Cemix, ruč.zpracování tl.5 mm</t>
  </si>
  <si>
    <t>samonivelační polymercementová stěrka Cemix 20 MPa</t>
  </si>
  <si>
    <t>Kamen. koberec vnitřní, mramorové oblázky,tl. 6 mm</t>
  </si>
  <si>
    <t>mramor Levante</t>
  </si>
  <si>
    <t>Výplně otvorů</t>
  </si>
  <si>
    <t>Osazení zárubní dveřních ocelových, pl. do 2,5 m2 - protipožární</t>
  </si>
  <si>
    <t>včetně dodávky zárubně 900 x 1970 x 100 mm</t>
  </si>
  <si>
    <t>Osazení rámů okenních plastových, plocha do 4 m2, včetně osazení křídel</t>
  </si>
  <si>
    <t>Izolace tepelné</t>
  </si>
  <si>
    <t>Montáž parozábrany krovů spodem s přelepením spojů a podhledu v nové chodbě</t>
  </si>
  <si>
    <t>DÖRKEN - DELTA L</t>
  </si>
  <si>
    <t>Montáž tepelné izolace potrubí, obalení pletivem, oboustranně</t>
  </si>
  <si>
    <t>včetně izolace tl. 100 mm - izolace potrubí odvětrání</t>
  </si>
  <si>
    <t>Armatury</t>
  </si>
  <si>
    <t>Ventil radiátor.,rohový,Heimeier Mikrotherm DN 15</t>
  </si>
  <si>
    <t>Konstrukce tesařské</t>
  </si>
  <si>
    <t>Krov dřevěný, laťování, bednění přesahu střechy</t>
  </si>
  <si>
    <t>úprava stávajícího krovu u nové konstrukce vstupu, doplnění krovu u mansardy</t>
  </si>
  <si>
    <t>Demontáž konstrukcí krovů z hranolů do 120 cm2</t>
  </si>
  <si>
    <t>Ddřevěná konstrukce střechy, bednění, tepelná izolace</t>
  </si>
  <si>
    <t>2xOSB desky, pojist.hydroizol,tep.izol.300 mm</t>
  </si>
  <si>
    <t>Konstrukce klempířské</t>
  </si>
  <si>
    <t>Svod z Ti Zn RHEINZINK, kruhový, D 100 mm</t>
  </si>
  <si>
    <t>Koleno z Ti Zn RHEINZINK 72°, kruhové, D 100 mm</t>
  </si>
  <si>
    <t>Konstrukce truhlářské</t>
  </si>
  <si>
    <t>Osazení dveřních křídel kompl., četně kompletace prvků</t>
  </si>
  <si>
    <t>Konstrukce doplňkové stavební (zámečnické)</t>
  </si>
  <si>
    <t>Montáž zábradlí z profilů na konstrukci do 60 kg</t>
  </si>
  <si>
    <t>doplnění sstávajícího schodiště po vybourání příčky_x000D_
kotvený do zdi a do podlahy, svislé člěnění dle ČSN</t>
  </si>
  <si>
    <t>Podlahy z dlaždic</t>
  </si>
  <si>
    <t>Penetrace podkladu</t>
  </si>
  <si>
    <t>penetrační nátěr Primer G</t>
  </si>
  <si>
    <t>Podlahy povlakové</t>
  </si>
  <si>
    <t>Lepení podlahových soklíků povlakových</t>
  </si>
  <si>
    <t>Lepení povlakových podlah z dílců PVC a CV (vinyl)</t>
  </si>
  <si>
    <t>včetně vinylové podlahoviny tl. 2 mm (šíření požáru - Afl-Cfl), barva dle výběru investora</t>
  </si>
  <si>
    <t>Odstranění PVC a koberců lepených bez podložky</t>
  </si>
  <si>
    <t>včetně soklíku</t>
  </si>
  <si>
    <t>Odstranění PVC a koberců lepených bez podložky na stupněch ocelového schodiště</t>
  </si>
  <si>
    <t>Nátěry</t>
  </si>
  <si>
    <t>Provedení olejového nátěru ocelové konstrukce plnostěnné "D", dvojnásobného</t>
  </si>
  <si>
    <t>včetně dodávky materíálu - nátěr stávajícího schodiště</t>
  </si>
  <si>
    <t>Nátěr tesařských konstrukcí impregnace karbolín 2x</t>
  </si>
  <si>
    <t>Malby</t>
  </si>
  <si>
    <t>Malba disperzní interiér.HET Klasik,výška do 3,8 m</t>
  </si>
  <si>
    <t>1barevná, 2x nátěr, 1x penetrace</t>
  </si>
  <si>
    <t>Hodinové zúčtovací sazby (HZS)</t>
  </si>
  <si>
    <t>HZS - přemístění stávající izolace podlahy půdního prostoru (v místě stavby)</t>
  </si>
  <si>
    <t>a její zpětná instalace</t>
  </si>
  <si>
    <t>Demontáž stávajících svítidel</t>
  </si>
  <si>
    <t>stavební dělník v tarifní třídě 8</t>
  </si>
  <si>
    <t>Drobné zapravení, DaM drobných prvků</t>
  </si>
  <si>
    <t>stavební dělník v tarifní třídě 7</t>
  </si>
  <si>
    <t>HZS - elektromontáže, zapojení zásuvek, zapojení přepínačů, zapojení svítidel a NS</t>
  </si>
  <si>
    <t>elektromontér v tarifní třídě 7</t>
  </si>
  <si>
    <t>HZS - dodávka a kompletní montáž prodloužení rozvodů topení, včetně materiálu a tvarovek</t>
  </si>
  <si>
    <t>- osazení ventilů, osazení odvzdušňovacího ventilu, osazení termohlavice, spojů trubek, osazení ventilů, vypuštění a napuštění systému, odvzdušnění systému, osazení radiátoru a trubek na zeď, zednické zapravení včetně průrazů_x000D_
- včetně dodávky 8x koleno 18/1 90°, 2x přechod měď šroubění, 2x šroubení k radiátoru, 2x T kus pro prodloužení  rozvodů, 1x termoventil, 1x spodní ventil, 6x plastové příchytky potrubí na zeď, kompletní sada pro osazení radiátoru na zeď, odvzdušňovací ventil_x000D_
- 1x rozpojení a napojení nového potrubí na stávající rozvody</t>
  </si>
  <si>
    <t>HZS - revize elektroinstalace</t>
  </si>
  <si>
    <t>elektromontér v tarifní třídě 8</t>
  </si>
  <si>
    <t>HZS - DEMONTÁŽ ČÁSTI STÁVAJÍCÍHO OKAPU - 15 m, osazení čel, úprava spádování</t>
  </si>
  <si>
    <t>HZS - prodloužení stávajícího potrubí odvětrání o cca 3,0 m o prům. 300 mm</t>
  </si>
  <si>
    <t>včetně přesunu ventilátoru a prodloužení elektroinstalce</t>
  </si>
  <si>
    <t>Lešení a stavební výtahy</t>
  </si>
  <si>
    <t>Lešení lehké fasádní, š. 1 m, výška do 30 m</t>
  </si>
  <si>
    <t>montáž, demontáž, doprava, pronájem 1 měsíc</t>
  </si>
  <si>
    <t>Pronájem lešení za den</t>
  </si>
  <si>
    <t>Lešení lehké pomocné, výška podlahy do 2,5 m</t>
  </si>
  <si>
    <t>Různé dokončovací konstrukce a práce na pozemních stavbách</t>
  </si>
  <si>
    <t>Chemické kotvy, cihly, hl. 110 mm, M12, malta POLY</t>
  </si>
  <si>
    <t>pro přichycení dřevených profilů krovu do zdiva</t>
  </si>
  <si>
    <t>Bourání konstrukcí</t>
  </si>
  <si>
    <t>Vyvěšení dřevěných dveřních křídel pl. nad 2 m2</t>
  </si>
  <si>
    <t>Bourání příček z cihel pálených plných tl. 140 mm</t>
  </si>
  <si>
    <t>DMTZ SDK příčky, 1x kov.kce., 1x opláštěné 15 mm</t>
  </si>
  <si>
    <t>DMTZ podkroví SDK, kovová kce., 1xoplášť.12,5 mm</t>
  </si>
  <si>
    <t>Prorážení otvorů a ostatní bourací práce</t>
  </si>
  <si>
    <t>Vysekání rýh ve zdi cihelné 3 x 3 cm</t>
  </si>
  <si>
    <t>Vysekání rýh ve zdi cihelné 5 x 10 cm</t>
  </si>
  <si>
    <t>Budovy občanské výstavby</t>
  </si>
  <si>
    <t>Přesun hmot pro budovy zděné výšky do 24 m</t>
  </si>
  <si>
    <t>Elektromontáže</t>
  </si>
  <si>
    <t>Kabel CYKY-m 750 V 3 x 1,5 mm2 volně uložený</t>
  </si>
  <si>
    <t>včetně dodávky kabelu</t>
  </si>
  <si>
    <t>Kabel CYKY-m 750 V 3 x 2,5 mm2 volně uložený</t>
  </si>
  <si>
    <t>Kabel CYKY-m 750 V 5 žil,4 až 25 mm2,volně uložený</t>
  </si>
  <si>
    <t>včetně dodávky kabelu 5x4 mm2</t>
  </si>
  <si>
    <t>Uložení CYKY kabelu volně, ručně</t>
  </si>
  <si>
    <t>Zemní práce při montážích</t>
  </si>
  <si>
    <t>Průraz zdivem v cihlové zdi tloušťky 30 cm</t>
  </si>
  <si>
    <t>plochy do 0,25 m2 - pro odvedení dešťových vod z ploché střechy</t>
  </si>
  <si>
    <t>Elektroinstalace</t>
  </si>
  <si>
    <t>Montáž nouzového svítidla stropního přisazeného</t>
  </si>
  <si>
    <t>Montáž LED svítidla stropního přisazeného</t>
  </si>
  <si>
    <t>Montáž víčka na krabici - závit</t>
  </si>
  <si>
    <t>Uložení krabice kruhové pod omítku bez zapojení</t>
  </si>
  <si>
    <t>včetně dodávky krabice KU68</t>
  </si>
  <si>
    <t>Prodloužení evakuačního výtahu</t>
  </si>
  <si>
    <t>Projekt prodloužení výtahu</t>
  </si>
  <si>
    <t>Stavba lešení</t>
  </si>
  <si>
    <t>Demontáž střechy výtahové šachty</t>
  </si>
  <si>
    <t>Demontáž skleněných polí výtahové šachty - pouze poslední patro</t>
  </si>
  <si>
    <t>Spuštění výtahové klece a protiváhy na dno šachty</t>
  </si>
  <si>
    <t>Demontáž kompletní původní elektroinstalace na nahrazení novou splňující aktuální platné normy</t>
  </si>
  <si>
    <t>Demontáž lan, vystrojení hlavy šachty, roštu, stroje</t>
  </si>
  <si>
    <t>Zakrytí výtahu a výtahové šachty, zabezpečení proti poškození</t>
  </si>
  <si>
    <t>Výroba a montáž ocelových profilů pro nadstavení ocelové konstrukce</t>
  </si>
  <si>
    <t>Výroba a montáž skleněných tabulí pro opláčtění nadstavení ocelové kce</t>
  </si>
  <si>
    <t>Opětovná montáž střechy výtahové šachty</t>
  </si>
  <si>
    <t>Demontáž vnějšího lešení</t>
  </si>
  <si>
    <t>Výroba a montáž prodloužení vodítek klece a protiváhy</t>
  </si>
  <si>
    <t>Výroba a dodávka nových výtahových lan</t>
  </si>
  <si>
    <t>Opětovná montáž vybavení hlavy šachty, roštu, stroje, lanování</t>
  </si>
  <si>
    <t>Výroba a montáž kompletní elektroinstalace výtahu</t>
  </si>
  <si>
    <t>Montážní práce</t>
  </si>
  <si>
    <t>Montážní zkouška výtahu</t>
  </si>
  <si>
    <t>Příprava nové dokumentace k výtahu</t>
  </si>
  <si>
    <t>posouzení shody výtahu před uvedením do provozu</t>
  </si>
  <si>
    <t>Přesuny sutí</t>
  </si>
  <si>
    <t>Poplatek za uložení suti - minerální vata, skupina odpadu 170604</t>
  </si>
  <si>
    <t>Poplatek za uložení suti - sádrokartonové desky, skupina odpadu 170802</t>
  </si>
  <si>
    <t>Poplatek za uložení suti - směs betonu, cihel, dřeva, skupina odpadu 170904</t>
  </si>
  <si>
    <t>Poplatek za uložení suti - asfaltové pásy, skupina odpadu 170302</t>
  </si>
  <si>
    <t>Poplatek za likvidaci (spalovna) - dřevo, skupina odpadu 170201</t>
  </si>
  <si>
    <t>Poplatek za uložení suti - PVC podlahová krytina, skupina odpadu 200307</t>
  </si>
  <si>
    <t>Poplatek za uložení suti - koberce, skupina odpadu 200307</t>
  </si>
  <si>
    <t>Svislá doprava suti a vybour. hmot za 2.NP nošením</t>
  </si>
  <si>
    <t>Příplatek za každé další podlaží</t>
  </si>
  <si>
    <t>Nakládání vybouraných hmot na dopravní prostředek</t>
  </si>
  <si>
    <t>Vodorovné přemístění suti na skládku do 6000 m</t>
  </si>
  <si>
    <t>Příplatek za dalších započatých 1000 m nad 6000 m</t>
  </si>
  <si>
    <t>Ostatní materiál</t>
  </si>
  <si>
    <t>Dveře požární 1kříd.-30 min EI 30 DP3 80x197 cm, kouřotěsné (S), slepá FAB vložka, v barevném řešení dle investora</t>
  </si>
  <si>
    <t>Dveře požární 1kříd.-30 min EI 30 DP3 90x197 cm, prosklenné, kouřotěsné + samozavírač (S+C), panikové kování, v barevném řešení del investora</t>
  </si>
  <si>
    <t>Dveře požární 1kříd.-30 min EI 30 DP3 90x197 cm, samozavírač + kouřotěsné (S+C), panikové kování, v barevném řešení dle investora</t>
  </si>
  <si>
    <t>Dveře požární 1kříd.-30 min EI 30 DP3 90x197 cm, kouřotěsné (S),slepá FAB vložka, v barevném řešení dle investora</t>
  </si>
  <si>
    <t>Dveře vnitřní fólie KLASIK plné 1kř. 90x197 bílé - slepá FAB vložka</t>
  </si>
  <si>
    <t>Zábradlí ocelové trubkové - doplnění zábradlí u schodiště</t>
  </si>
  <si>
    <t>Lišta přechodová Al 30/F vrtaná l=93 cm bronz</t>
  </si>
  <si>
    <t>Dveřní kování ELEGANT klíč Cr</t>
  </si>
  <si>
    <t>Lišta soklová PVC pro vinyl</t>
  </si>
  <si>
    <t>Okno plastové jednodílné 107 x 130 cm O, S</t>
  </si>
  <si>
    <t>Okno plastové 2dílné se sloupkem 240 x 130 cm OS/O</t>
  </si>
  <si>
    <t>Parapet vnější Al eloxovaný tažený š. 180 mm</t>
  </si>
  <si>
    <t>Boční krytka parapetu š. 130 - 180 mm - Al</t>
  </si>
  <si>
    <t>Parapet interiér PVC Hammer š. 200 mm barevný</t>
  </si>
  <si>
    <t>Krytka parapetní plastová Massive dl. 600 mm bílá</t>
  </si>
  <si>
    <t>Věncovka Ytong  125 x 199 x 599 mm</t>
  </si>
  <si>
    <t>Oplechování atiky kónické rš 580 mm</t>
  </si>
  <si>
    <t>Objímka hranatého svodu RHEINZINK-prePATINA blaugrau 100</t>
  </si>
  <si>
    <t>Lemování zdí rš 375 mm</t>
  </si>
  <si>
    <t>Pás modifikovaný asfalt RDI 3D MEDITERRAN</t>
  </si>
  <si>
    <t>LED nouzové osvětlení CESSI 3 W, 3 h</t>
  </si>
  <si>
    <t>Svítidlo interiérové stropní  LED-3700-4K-24W</t>
  </si>
  <si>
    <t>LED panel 600x600mm 40W denní-bílá</t>
  </si>
  <si>
    <t>Autonomní hlásič požárů, včetně dodávky a montáže, protokolu o instalaci PBZ</t>
  </si>
  <si>
    <t>Beton tř.C 25/30 z SPC fr.do 16 mm měkký V3</t>
  </si>
  <si>
    <t>Výztuž do betonu ocel 10 505 /R/ d 12 mm</t>
  </si>
  <si>
    <t>Výztuž do betonu ocel 10 505/R/ d 8 mm</t>
  </si>
  <si>
    <t>Překlad nosný  Ytong NOP 300-1750</t>
  </si>
  <si>
    <t>Jistič do 80 A 1 pól. charakteristika B, LTN-16B-1</t>
  </si>
  <si>
    <t>Jistič do 80 A 1 pól. charakteristika B, LTN-10B-1</t>
  </si>
  <si>
    <t>Strojek spínače střídavého Tango 3559-A06345 řaz.6</t>
  </si>
  <si>
    <t>Rámeček pro spínače a zásuvky Tango 3901A-B20</t>
  </si>
  <si>
    <t>Zásuvka dvojnásobná Tango 5512A-2349</t>
  </si>
  <si>
    <t>Kryt spínače Tango 3558A-A651</t>
  </si>
  <si>
    <t>Konvektor, radiátor K21 výška 70 mm, délka 600 mm</t>
  </si>
  <si>
    <t>Šroubení radiátorové R17TG 1/2" přímé</t>
  </si>
  <si>
    <t>Příchytka S-3  ( pro typ radiátoru PJ-4)</t>
  </si>
  <si>
    <t>Ventil odvzdušňovací 4320 k radiátorům DN 6</t>
  </si>
  <si>
    <t>Ventil radiátorový R5TG Giacomini 1/2" rohový</t>
  </si>
  <si>
    <t>Izolace potrubí Mirelon PRO 18x9 mm šedočerná, DaM</t>
  </si>
  <si>
    <t>Trubka měděná Cu 99,99 18 x 1 mm polotvrdá Supersa</t>
  </si>
  <si>
    <t>Doba výstavby:</t>
  </si>
  <si>
    <t>Začátek výstavby:</t>
  </si>
  <si>
    <t>Konec výstavby:</t>
  </si>
  <si>
    <t>Zpracováno dne:</t>
  </si>
  <si>
    <t>20.11.2023</t>
  </si>
  <si>
    <t>MJ</t>
  </si>
  <si>
    <t>m</t>
  </si>
  <si>
    <t>t</t>
  </si>
  <si>
    <t>m3</t>
  </si>
  <si>
    <t>kus</t>
  </si>
  <si>
    <t>m2</t>
  </si>
  <si>
    <t>h</t>
  </si>
  <si>
    <t>kpl</t>
  </si>
  <si>
    <t>ks</t>
  </si>
  <si>
    <t>kg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</si>
  <si>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</si>
  <si>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</si>
  <si>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</si>
  <si>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</si>
  <si>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</si>
  <si>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</si>
  <si>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</si>
  <si>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Zámeček Střelice p.o.</t>
  </si>
  <si>
    <t>Jiří Kratochvíl</t>
  </si>
  <si>
    <t> </t>
  </si>
  <si>
    <t>Ing. Jiří Kratochvíl</t>
  </si>
  <si>
    <t>Náklady (Kč)</t>
  </si>
  <si>
    <t>Dodávka</t>
  </si>
  <si>
    <t>Celkem:</t>
  </si>
  <si>
    <t>Montáž</t>
  </si>
  <si>
    <t>Celkem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</si>
  <si>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</si>
  <si>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</si>
  <si>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</si>
  <si>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</si>
  <si>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</si>
  <si>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</si>
  <si>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</si>
  <si>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</si>
  <si>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</si>
  <si>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</si>
  <si>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</si>
  <si>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</si>
  <si>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31_</t>
  </si>
  <si>
    <t>32_</t>
  </si>
  <si>
    <t>600VD_</t>
  </si>
  <si>
    <t>34_</t>
  </si>
  <si>
    <t>41_</t>
  </si>
  <si>
    <t>44_</t>
  </si>
  <si>
    <t>61_</t>
  </si>
  <si>
    <t>62_</t>
  </si>
  <si>
    <t>63_</t>
  </si>
  <si>
    <t>64_</t>
  </si>
  <si>
    <t>713_</t>
  </si>
  <si>
    <t>734_</t>
  </si>
  <si>
    <t>762_</t>
  </si>
  <si>
    <t>764_</t>
  </si>
  <si>
    <t>766_</t>
  </si>
  <si>
    <t>767_</t>
  </si>
  <si>
    <t>771_</t>
  </si>
  <si>
    <t>776_</t>
  </si>
  <si>
    <t>783_</t>
  </si>
  <si>
    <t>784_</t>
  </si>
  <si>
    <t>90_</t>
  </si>
  <si>
    <t>94_</t>
  </si>
  <si>
    <t>95_</t>
  </si>
  <si>
    <t>96_</t>
  </si>
  <si>
    <t>97_</t>
  </si>
  <si>
    <t>H01_</t>
  </si>
  <si>
    <t>M21_</t>
  </si>
  <si>
    <t>M46_</t>
  </si>
  <si>
    <t>M65_</t>
  </si>
  <si>
    <t>M900VD_</t>
  </si>
  <si>
    <t>S_</t>
  </si>
  <si>
    <t>Z99999_</t>
  </si>
  <si>
    <t>3_</t>
  </si>
  <si>
    <t>6_</t>
  </si>
  <si>
    <t>4_</t>
  </si>
  <si>
    <t>71_</t>
  </si>
  <si>
    <t>73_</t>
  </si>
  <si>
    <t>76_</t>
  </si>
  <si>
    <t>77_</t>
  </si>
  <si>
    <t>78_</t>
  </si>
  <si>
    <t>9_</t>
  </si>
  <si>
    <t>Z_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</si>
  <si>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</si>
  <si>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</si>
  <si>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</si>
  <si>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</si>
  <si>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</si>
  <si>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</si>
  <si>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</si>
  <si>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</si>
  <si>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</si>
  <si>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</si>
  <si>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</si>
  <si>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</si>
  <si>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</si>
  <si>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</si>
  <si>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</si>
  <si>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Výkaz výměr</t>
  </si>
  <si>
    <t>(((5,8*3,0)+(5,4*3,0)+(2,3*3,0)+(3,1*3,0)+(3,3*3,0))-((1,07*1,3)+(2,4*1,3)+(1,7*2,1)))*0,3</t>
  </si>
  <si>
    <t>3,0*6,5</t>
  </si>
  <si>
    <t>45,7+15,7+14,2+10,6+17,6+52,2+9,2+10,3+10,0+10,4</t>
  </si>
  <si>
    <t>5,94</t>
  </si>
  <si>
    <t>4,3*2,7</t>
  </si>
  <si>
    <t>(1,4*2,6)-(0,9*2,0)</t>
  </si>
  <si>
    <t>(1,8*2,0)-(1,0*2,.0)</t>
  </si>
  <si>
    <t>0,25*4*2,6*3</t>
  </si>
  <si>
    <t>((0,5*2,6)+(0,5*2,6))</t>
  </si>
  <si>
    <t>1,7*2,5</t>
  </si>
  <si>
    <t>4,7*0,2</t>
  </si>
  <si>
    <t>5,7*,2</t>
  </si>
  <si>
    <t>6,3+5,1+2,6+3,2+3,1+1,8</t>
  </si>
  <si>
    <t>1,1*0,3</t>
  </si>
  <si>
    <t>2,4*0,3</t>
  </si>
  <si>
    <t>1,7*0,3</t>
  </si>
  <si>
    <t>2,0*0,3</t>
  </si>
  <si>
    <t>(3,0*6,5)*0,3</t>
  </si>
  <si>
    <t>(45,7+15,7+14,2+10,6+17,6+52,2+9,2+10,3+10,0+10,4)*0,3</t>
  </si>
  <si>
    <t>(3,0*3,5)-(0,8*2,0)</t>
  </si>
  <si>
    <t>(0.15*2.0*2)+(0.15*1.0)</t>
  </si>
  <si>
    <t>0,15*(3,0+3,0+3,5+3,5)</t>
  </si>
  <si>
    <t>((5,8*3,0)+(5,4*3,0)+(2,3*3,0)+(3,1*3,0)+(3,3*3,0)+(2,0*1,0))-((1,07*1,3)+(2,4*1,3)+(1,7*2,1))</t>
  </si>
  <si>
    <t>16,7</t>
  </si>
  <si>
    <t>6,5*3,0</t>
  </si>
  <si>
    <t>15+21</t>
  </si>
  <si>
    <t>6,3*10</t>
  </si>
  <si>
    <t>((3,5+4,6)*2)+((3,2+4,5)*2)+((3,3+3,2)*2)+((5,7+3,2)*2)</t>
  </si>
  <si>
    <t>((5,1+0,25)*2)+((3,2+3,2)*2)+((3,2+3,2)*6)</t>
  </si>
  <si>
    <t>((2,3+2,3)*2)+((13,2+1,2)*2)+((3,0+2,5)*2)+((2,2+4,6)*2)</t>
  </si>
  <si>
    <t>18*0,3*1,1</t>
  </si>
  <si>
    <t>0,3*1,5*18</t>
  </si>
  <si>
    <t>3,0</t>
  </si>
  <si>
    <t>(6,5*3,5*2)+/3,0*3,5*2)</t>
  </si>
  <si>
    <t>((1,95*3,2)*9)+((2,65*18,2)-(0,8*2,0*4))+(1,25*15,2)</t>
  </si>
  <si>
    <t>((5,4*1,25)*2)+(10,3*1,25)+((10,3*2,65)-(0,9*2,0)-(1,6*2,0))</t>
  </si>
  <si>
    <t>(4,2*2,65)+((13,2*2,65*4)-(0,8*2,0*4)-(0,6*2,0*10))</t>
  </si>
  <si>
    <t>(3,5*18,2*2)+(3,5*4)+60,2</t>
  </si>
  <si>
    <t>3,0*3,5</t>
  </si>
  <si>
    <t>1,0*4,0*2-(08*2,0)</t>
  </si>
  <si>
    <t>2,5*2,5</t>
  </si>
  <si>
    <t>2,8*2,5</t>
  </si>
  <si>
    <t>6,3*2,5*2</t>
  </si>
  <si>
    <t>3,8*3,0*2</t>
  </si>
  <si>
    <t>2* 1,5</t>
  </si>
  <si>
    <t>2*2,0</t>
  </si>
  <si>
    <t>1*4</t>
  </si>
  <si>
    <t>2,75</t>
  </si>
  <si>
    <t>214,9</t>
  </si>
  <si>
    <t>(6,3+5,7)*2</t>
  </si>
  <si>
    <t>(6+5)*2</t>
  </si>
  <si>
    <t>17*1,15</t>
  </si>
  <si>
    <t>0,3*0,3*22,5</t>
  </si>
  <si>
    <t>0,3*0,2*11</t>
  </si>
  <si>
    <t>zdivo nové chodby</t>
  </si>
  <si>
    <t>3.NP</t>
  </si>
  <si>
    <t>4.NP</t>
  </si>
  <si>
    <t>schodiště</t>
  </si>
  <si>
    <t>příčka u schodiště</t>
  </si>
  <si>
    <t>příčka u nové chodby</t>
  </si>
  <si>
    <t>Potrubí odvětrání</t>
  </si>
  <si>
    <t>před U profilem</t>
  </si>
  <si>
    <t>zapravení v místě napojení na novou chodbu</t>
  </si>
  <si>
    <t>konstrukce podhledu v nové chodbě</t>
  </si>
  <si>
    <t>3.NP zapravení u zárubní</t>
  </si>
  <si>
    <t>Nová chodba 4.NP</t>
  </si>
  <si>
    <t>schodiště z 3.NP do 4.NP</t>
  </si>
  <si>
    <t>sloup, zábradní, madla</t>
  </si>
  <si>
    <t>stěny 3.NP</t>
  </si>
  <si>
    <t>strop 3.NP</t>
  </si>
  <si>
    <t>stěna 4.NP</t>
  </si>
  <si>
    <t>Strop 4.NP</t>
  </si>
  <si>
    <t>rýhy pro přepínače</t>
  </si>
  <si>
    <t>rýhy pro zásuvky</t>
  </si>
  <si>
    <t>rýha pro uložení rozvodu topení</t>
  </si>
  <si>
    <t>4.NP do pokojů</t>
  </si>
  <si>
    <t>4.NP na únikové cestě</t>
  </si>
  <si>
    <t>4.NP do pokoje</t>
  </si>
  <si>
    <t>4.NP v chodbě</t>
  </si>
  <si>
    <t>včetně prořezu</t>
  </si>
  <si>
    <t>Oplehcování ploché střehcy</t>
  </si>
  <si>
    <t>Oplehcování u zdi Ytong</t>
  </si>
  <si>
    <t>včetně prořetu</t>
  </si>
  <si>
    <t>beton ŽB věnce</t>
  </si>
  <si>
    <t>beton mezi U profily</t>
  </si>
  <si>
    <t>Potřebné množství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</si>
  <si>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</si>
  <si>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</si>
  <si>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</si>
  <si>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</si>
  <si>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</si>
  <si>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</si>
  <si>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</si>
  <si>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</si>
  <si>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12%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</si>
  <si>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</si>
  <si>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</si>
  <si>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</si>
  <si>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</si>
  <si>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</si>
  <si>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</si>
  <si>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</si>
  <si>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</si>
  <si>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</si>
  <si>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</si>
  <si>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</si>
  <si>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</si>
  <si>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12%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</si>
  <si>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</si>
  <si>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</si>
  <si>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</si>
  <si>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</si>
  <si>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</si>
  <si>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</si>
  <si>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</si>
  <si>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</si>
  <si>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</si>
  <si>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</si>
  <si>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</si>
  <si>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</si>
  <si>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</si>
  <si>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</si>
  <si>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</si>
  <si>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</si>
  <si>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</si>
  <si>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</si>
  <si>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</si>
  <si>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</si>
  <si>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</si>
  <si>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00212920/</t>
  </si>
  <si>
    <t>47404981/CZ6809150183</t>
  </si>
  <si>
    <t>RTS I / 2024</t>
  </si>
  <si>
    <t>VL</t>
  </si>
  <si>
    <t>Okno plastové jednodílné 107 x 130 cm O, S, trojsklo, max. Uw=0,95</t>
  </si>
  <si>
    <t>Okno plastové 2dílné se sloupkem 240 x 130 cm OS/O, trojsklo, max Uw=0,95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</si>
</sst>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9"/>
      <color indexed="63"/>
      <name val="Arial"/>
      <family val="2"/>
      <charset val="238"/>
    </font>
    <font>
      <i/>
      <sz val="9"/>
      <color indexed="50"/>
      <name val="Arial"/>
      <family val="2"/>
      <charset val="238"/>
    </font>
    <font>
      <i/>
      <sz val="9"/>
      <color indexed="61"/>
      <name val="Arial"/>
      <family val="2"/>
      <charset val="238"/>
    </font>
    <font>
      <i/>
      <sz val="9"/>
      <color indexed="62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9"/>
      <color indexed="1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41"/>
      </patternFill>
    </fill>
    <fill>
      <patternFill patternType="solid">
        <fgColor indexed="22"/>
        <bgColor indexed="9"/>
      </patternFill>
    </fill>
    <fill>
      <patternFill patternType="solid">
        <fgColor rgb="FF8BE1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1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9" fontId="4" fillId="2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top"/>
    </xf>
    <xf numFmtId="49" fontId="8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4" fontId="5" fillId="3" borderId="0" xfId="0" applyNumberFormat="1" applyFont="1" applyFill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" fontId="6" fillId="3" borderId="0" xfId="0" applyNumberFormat="1" applyFont="1" applyFill="1" applyAlignment="1" applyProtection="1">
      <alignment horizontal="right" vertical="center"/>
      <protection locked="0"/>
    </xf>
    <xf numFmtId="49" fontId="3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right" vertical="center"/>
    </xf>
    <xf numFmtId="49" fontId="5" fillId="0" borderId="25" xfId="0" applyNumberFormat="1" applyFont="1" applyBorder="1" applyAlignment="1">
      <alignment horizontal="right" vertical="center"/>
    </xf>
    <xf numFmtId="49" fontId="8" fillId="2" borderId="25" xfId="0" applyNumberFormat="1" applyFont="1" applyFill="1" applyBorder="1" applyAlignment="1">
      <alignment horizontal="right" vertical="center"/>
    </xf>
    <xf numFmtId="49" fontId="6" fillId="0" borderId="25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49" fontId="8" fillId="2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9" fontId="3" fillId="0" borderId="30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" fontId="1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3" fillId="0" borderId="32" xfId="0" applyNumberFormat="1" applyFont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9" fontId="3" fillId="0" borderId="36" xfId="0" applyNumberFormat="1" applyFont="1" applyBorder="1" applyAlignment="1">
      <alignment horizontal="left" vertical="center"/>
    </xf>
    <xf numFmtId="4" fontId="5" fillId="0" borderId="2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4" fontId="6" fillId="0" borderId="2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7" fillId="0" borderId="33" xfId="0" applyNumberFormat="1" applyFont="1" applyBorder="1" applyAlignment="1">
      <alignment horizontal="left" vertical="center"/>
    </xf>
    <xf numFmtId="49" fontId="17" fillId="0" borderId="39" xfId="0" applyNumberFormat="1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49" fontId="18" fillId="0" borderId="38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8" fillId="0" borderId="38" xfId="0" applyNumberFormat="1" applyFont="1" applyBorder="1" applyAlignment="1">
      <alignment horizontal="right" vertical="center"/>
    </xf>
    <xf numFmtId="49" fontId="18" fillId="0" borderId="38" xfId="0" applyNumberFormat="1" applyFont="1" applyBorder="1" applyAlignment="1">
      <alignment horizontal="right" vertical="center"/>
    </xf>
    <xf numFmtId="4" fontId="18" fillId="0" borderId="21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4" fontId="17" fillId="4" borderId="44" xfId="0" applyNumberFormat="1" applyFont="1" applyFill="1" applyBorder="1" applyAlignment="1">
      <alignment horizontal="right" vertical="center"/>
    </xf>
    <xf numFmtId="0" fontId="1" fillId="0" borderId="1" xfId="0" applyFont="1" applyBorder="1"/>
    <xf numFmtId="49" fontId="20" fillId="0" borderId="3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4" fontId="20" fillId="0" borderId="25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9" fontId="20" fillId="0" borderId="25" xfId="0" applyNumberFormat="1" applyFont="1" applyBorder="1" applyAlignment="1">
      <alignment horizontal="right" vertical="center"/>
    </xf>
    <xf numFmtId="49" fontId="20" fillId="0" borderId="8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28" xfId="0" applyNumberFormat="1" applyFont="1" applyBorder="1" applyAlignment="1">
      <alignment horizontal="right" vertical="center"/>
    </xf>
    <xf numFmtId="4" fontId="20" fillId="3" borderId="0" xfId="0" applyNumberFormat="1" applyFont="1" applyFill="1" applyAlignment="1" applyProtection="1">
      <alignment horizontal="right" vertical="center"/>
      <protection locked="0"/>
    </xf>
    <xf numFmtId="4" fontId="20" fillId="3" borderId="1" xfId="0" applyNumberFormat="1" applyFont="1" applyFill="1" applyBorder="1" applyAlignment="1" applyProtection="1">
      <alignment horizontal="right" vertical="center"/>
      <protection locked="0"/>
    </xf>
    <xf numFmtId="49" fontId="18" fillId="5" borderId="38" xfId="0" applyNumberFormat="1" applyFont="1" applyFill="1" applyBorder="1" applyAlignment="1" applyProtection="1">
      <alignment horizontal="right" vertical="center"/>
      <protection locked="0"/>
    </xf>
    <xf numFmtId="49" fontId="23" fillId="0" borderId="26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right" vertical="center"/>
    </xf>
    <xf numFmtId="49" fontId="22" fillId="0" borderId="25" xfId="0" applyNumberFormat="1" applyFont="1" applyBorder="1" applyAlignment="1">
      <alignment horizontal="right" vertical="center"/>
    </xf>
    <xf numFmtId="49" fontId="24" fillId="2" borderId="25" xfId="0" applyNumberFormat="1" applyFont="1" applyFill="1" applyBorder="1" applyAlignment="1">
      <alignment horizontal="right" vertical="center"/>
    </xf>
    <xf numFmtId="49" fontId="25" fillId="0" borderId="25" xfId="0" applyNumberFormat="1" applyFont="1" applyBorder="1" applyAlignment="1">
      <alignment horizontal="right" vertical="center"/>
    </xf>
    <xf numFmtId="49" fontId="26" fillId="0" borderId="25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28" xfId="0" applyFont="1" applyBorder="1" applyAlignment="1">
      <alignment horizontal="right" vertical="center"/>
    </xf>
    <xf numFmtId="49" fontId="28" fillId="0" borderId="3" xfId="0" applyNumberFormat="1" applyFont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4" fontId="28" fillId="3" borderId="0" xfId="0" applyNumberFormat="1" applyFont="1" applyFill="1" applyAlignment="1" applyProtection="1">
      <alignment horizontal="right" vertical="center"/>
      <protection locked="0"/>
    </xf>
    <xf numFmtId="49" fontId="28" fillId="0" borderId="25" xfId="0" applyNumberFormat="1" applyFont="1" applyBorder="1" applyAlignment="1">
      <alignment horizontal="right"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49" fontId="29" fillId="2" borderId="0" xfId="0" applyNumberFormat="1" applyFont="1" applyFill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8" fillId="0" borderId="29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49" fontId="18" fillId="0" borderId="43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49" fontId="17" fillId="4" borderId="40" xfId="0" applyNumberFormat="1" applyFont="1" applyFill="1" applyBorder="1" applyAlignment="1">
      <alignment horizontal="left" vertical="center"/>
    </xf>
    <xf numFmtId="0" fontId="17" fillId="4" borderId="37" xfId="0" applyFont="1" applyFill="1" applyBorder="1" applyAlignment="1">
      <alignment horizontal="left" vertical="center"/>
    </xf>
    <xf numFmtId="49" fontId="18" fillId="0" borderId="42" xfId="0" applyNumberFormat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49" fontId="17" fillId="0" borderId="40" xfId="0" applyNumberFormat="1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49" fontId="18" fillId="0" borderId="40" xfId="0" applyNumberFormat="1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49" fontId="15" fillId="0" borderId="37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0" borderId="25" xfId="0" applyFont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1" fillId="0" borderId="13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  <mruColors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7" workbookViewId="0">
      <selection activeCell="I15" sqref="I15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84"/>
      <c r="B1" s="68"/>
      <c r="C1" s="147" t="s">
        <v>732</v>
      </c>
      <c r="D1" s="148"/>
      <c r="E1" s="148"/>
      <c r="F1" s="148"/>
      <c r="G1" s="148"/>
      <c r="H1" s="148"/>
      <c r="I1" s="148"/>
    </row>
    <row r="2" spans="1:10" x14ac:dyDescent="0.2">
      <c r="A2" s="149" t="s">
        <v>1</v>
      </c>
      <c r="B2" s="150"/>
      <c r="C2" s="151" t="str">
        <f>'Stavební rozpočet'!C2</f>
        <v>Prodloužení evekuačního výtahu a stavební úpravy 4.NP</v>
      </c>
      <c r="D2" s="152"/>
      <c r="E2" s="154" t="s">
        <v>547</v>
      </c>
      <c r="F2" s="154" t="str">
        <f>'Stavební rozpočet'!J2</f>
        <v>Zámeček Střelice p.o.</v>
      </c>
      <c r="G2" s="150"/>
      <c r="H2" s="154" t="s">
        <v>757</v>
      </c>
      <c r="I2" s="155" t="s">
        <v>761</v>
      </c>
      <c r="J2" s="5"/>
    </row>
    <row r="3" spans="1:10" x14ac:dyDescent="0.2">
      <c r="A3" s="141"/>
      <c r="B3" s="118"/>
      <c r="C3" s="153"/>
      <c r="D3" s="153"/>
      <c r="E3" s="118"/>
      <c r="F3" s="118"/>
      <c r="G3" s="118"/>
      <c r="H3" s="118"/>
      <c r="I3" s="144"/>
      <c r="J3" s="5"/>
    </row>
    <row r="4" spans="1:10" x14ac:dyDescent="0.2">
      <c r="A4" s="140" t="s">
        <v>2</v>
      </c>
      <c r="B4" s="118"/>
      <c r="C4" s="117" t="str">
        <f>'Stavební rozpočet'!C4</f>
        <v>Stavební úpravy objektu Nového Pavilónu</v>
      </c>
      <c r="D4" s="118"/>
      <c r="E4" s="117" t="s">
        <v>548</v>
      </c>
      <c r="F4" s="117" t="str">
        <f>'Stavební rozpočet'!J4</f>
        <v>Jiří Kratochvíl</v>
      </c>
      <c r="G4" s="118"/>
      <c r="H4" s="117" t="s">
        <v>757</v>
      </c>
      <c r="I4" s="143" t="s">
        <v>762</v>
      </c>
      <c r="J4" s="5"/>
    </row>
    <row r="5" spans="1:10" x14ac:dyDescent="0.2">
      <c r="A5" s="141"/>
      <c r="B5" s="118"/>
      <c r="C5" s="118"/>
      <c r="D5" s="118"/>
      <c r="E5" s="118"/>
      <c r="F5" s="118"/>
      <c r="G5" s="118"/>
      <c r="H5" s="118"/>
      <c r="I5" s="144"/>
      <c r="J5" s="5"/>
    </row>
    <row r="6" spans="1:10" x14ac:dyDescent="0.2">
      <c r="A6" s="140" t="s">
        <v>3</v>
      </c>
      <c r="B6" s="118"/>
      <c r="C6" s="117" t="str">
        <f>'Stavební rozpočet'!C6</f>
        <v>Areál Zámečku Střelice</v>
      </c>
      <c r="D6" s="118"/>
      <c r="E6" s="117" t="s">
        <v>549</v>
      </c>
      <c r="F6" s="117" t="str">
        <f>'Stavební rozpočet'!J6</f>
        <v> </v>
      </c>
      <c r="G6" s="118"/>
      <c r="H6" s="117" t="s">
        <v>757</v>
      </c>
      <c r="I6" s="143"/>
      <c r="J6" s="5"/>
    </row>
    <row r="7" spans="1:10" x14ac:dyDescent="0.2">
      <c r="A7" s="141"/>
      <c r="B7" s="118"/>
      <c r="C7" s="118"/>
      <c r="D7" s="118"/>
      <c r="E7" s="118"/>
      <c r="F7" s="118"/>
      <c r="G7" s="118"/>
      <c r="H7" s="118"/>
      <c r="I7" s="144"/>
      <c r="J7" s="5"/>
    </row>
    <row r="8" spans="1:10" x14ac:dyDescent="0.2">
      <c r="A8" s="140" t="s">
        <v>532</v>
      </c>
      <c r="B8" s="118"/>
      <c r="C8" s="117" t="str">
        <f>'Stavební rozpočet'!G4</f>
        <v xml:space="preserve"> </v>
      </c>
      <c r="D8" s="118"/>
      <c r="E8" s="117" t="s">
        <v>533</v>
      </c>
      <c r="F8" s="117" t="str">
        <f>'Stavební rozpočet'!G6</f>
        <v xml:space="preserve"> </v>
      </c>
      <c r="G8" s="118"/>
      <c r="H8" s="142" t="s">
        <v>758</v>
      </c>
      <c r="I8" s="143" t="s">
        <v>150</v>
      </c>
      <c r="J8" s="5"/>
    </row>
    <row r="9" spans="1:10" x14ac:dyDescent="0.2">
      <c r="A9" s="141"/>
      <c r="B9" s="118"/>
      <c r="C9" s="118"/>
      <c r="D9" s="118"/>
      <c r="E9" s="118"/>
      <c r="F9" s="118"/>
      <c r="G9" s="118"/>
      <c r="H9" s="118"/>
      <c r="I9" s="144"/>
      <c r="J9" s="5"/>
    </row>
    <row r="10" spans="1:10" x14ac:dyDescent="0.2">
      <c r="A10" s="140" t="s">
        <v>4</v>
      </c>
      <c r="B10" s="118"/>
      <c r="C10" s="117" t="str">
        <f>'Stavební rozpočet'!C8</f>
        <v xml:space="preserve"> </v>
      </c>
      <c r="D10" s="118"/>
      <c r="E10" s="117" t="s">
        <v>550</v>
      </c>
      <c r="F10" s="117" t="str">
        <f>'Stavební rozpočet'!J8</f>
        <v>Ing. Jiří Kratochvíl</v>
      </c>
      <c r="G10" s="118"/>
      <c r="H10" s="142" t="s">
        <v>759</v>
      </c>
      <c r="I10" s="138" t="str">
        <f>'Stavební rozpočet'!G8</f>
        <v>20.11.2023</v>
      </c>
      <c r="J10" s="5"/>
    </row>
    <row r="11" spans="1:10" x14ac:dyDescent="0.2">
      <c r="A11" s="145"/>
      <c r="B11" s="146"/>
      <c r="C11" s="146"/>
      <c r="D11" s="146"/>
      <c r="E11" s="146"/>
      <c r="F11" s="146"/>
      <c r="G11" s="146"/>
      <c r="H11" s="146"/>
      <c r="I11" s="139"/>
      <c r="J11" s="5"/>
    </row>
    <row r="12" spans="1:10" ht="23.45" customHeight="1" x14ac:dyDescent="0.2">
      <c r="A12" s="134" t="s">
        <v>718</v>
      </c>
      <c r="B12" s="135"/>
      <c r="C12" s="135"/>
      <c r="D12" s="135"/>
      <c r="E12" s="135"/>
      <c r="F12" s="135"/>
      <c r="G12" s="135"/>
      <c r="H12" s="135"/>
      <c r="I12" s="135"/>
    </row>
    <row r="13" spans="1:10" ht="26.45" customHeight="1" x14ac:dyDescent="0.2">
      <c r="A13" s="69" t="s">
        <v>719</v>
      </c>
      <c r="B13" s="136" t="s">
        <v>730</v>
      </c>
      <c r="C13" s="137"/>
      <c r="D13" s="69" t="s">
        <v>733</v>
      </c>
      <c r="E13" s="136" t="s">
        <v>742</v>
      </c>
      <c r="F13" s="137"/>
      <c r="G13" s="69" t="s">
        <v>743</v>
      </c>
      <c r="H13" s="136" t="s">
        <v>760</v>
      </c>
      <c r="I13" s="137"/>
      <c r="J13" s="5"/>
    </row>
    <row r="14" spans="1:10" ht="15.2" customHeight="1" x14ac:dyDescent="0.2">
      <c r="A14" s="70" t="s">
        <v>720</v>
      </c>
      <c r="B14" s="74" t="s">
        <v>731</v>
      </c>
      <c r="C14" s="78">
        <f>SUM('Stavební rozpočet'!AB12:AB229)</f>
        <v>0</v>
      </c>
      <c r="D14" s="132" t="s">
        <v>734</v>
      </c>
      <c r="E14" s="133"/>
      <c r="F14" s="78">
        <v>0</v>
      </c>
      <c r="G14" s="132" t="s">
        <v>744</v>
      </c>
      <c r="H14" s="133"/>
      <c r="I14" s="98" t="s">
        <v>153</v>
      </c>
      <c r="J14" s="5"/>
    </row>
    <row r="15" spans="1:10" ht="15.2" customHeight="1" x14ac:dyDescent="0.2">
      <c r="A15" s="71"/>
      <c r="B15" s="74" t="s">
        <v>560</v>
      </c>
      <c r="C15" s="78">
        <f>SUM('Stavební rozpočet'!AC12:AC229)</f>
        <v>0</v>
      </c>
      <c r="D15" s="132" t="s">
        <v>735</v>
      </c>
      <c r="E15" s="133"/>
      <c r="F15" s="78">
        <v>0</v>
      </c>
      <c r="G15" s="132" t="s">
        <v>745</v>
      </c>
      <c r="H15" s="133"/>
      <c r="I15" s="79" t="s">
        <v>153</v>
      </c>
      <c r="J15" s="5"/>
    </row>
    <row r="16" spans="1:10" ht="15.2" customHeight="1" x14ac:dyDescent="0.2">
      <c r="A16" s="70" t="s">
        <v>721</v>
      </c>
      <c r="B16" s="74" t="s">
        <v>731</v>
      </c>
      <c r="C16" s="78">
        <f>SUM('Stavební rozpočet'!AD12:AD229)</f>
        <v>0</v>
      </c>
      <c r="D16" s="132" t="s">
        <v>736</v>
      </c>
      <c r="E16" s="133"/>
      <c r="F16" s="78">
        <v>0</v>
      </c>
      <c r="G16" s="132" t="s">
        <v>746</v>
      </c>
      <c r="H16" s="133"/>
      <c r="I16" s="79" t="s">
        <v>153</v>
      </c>
      <c r="J16" s="5"/>
    </row>
    <row r="17" spans="1:10" ht="15.2" customHeight="1" x14ac:dyDescent="0.2">
      <c r="A17" s="71"/>
      <c r="B17" s="74" t="s">
        <v>560</v>
      </c>
      <c r="C17" s="78">
        <f>SUM('Stavební rozpočet'!AE12:AE229)</f>
        <v>0</v>
      </c>
      <c r="D17" s="132"/>
      <c r="E17" s="133"/>
      <c r="F17" s="79"/>
      <c r="G17" s="132" t="s">
        <v>747</v>
      </c>
      <c r="H17" s="133"/>
      <c r="I17" s="79" t="s">
        <v>153</v>
      </c>
      <c r="J17" s="5"/>
    </row>
    <row r="18" spans="1:10" ht="15.2" customHeight="1" x14ac:dyDescent="0.2">
      <c r="A18" s="70" t="s">
        <v>722</v>
      </c>
      <c r="B18" s="74" t="s">
        <v>731</v>
      </c>
      <c r="C18" s="78">
        <f>SUM('Stavební rozpočet'!AF12:AF229)</f>
        <v>0</v>
      </c>
      <c r="D18" s="132"/>
      <c r="E18" s="133"/>
      <c r="F18" s="79"/>
      <c r="G18" s="132" t="s">
        <v>748</v>
      </c>
      <c r="H18" s="133"/>
      <c r="I18" s="79" t="s">
        <v>153</v>
      </c>
      <c r="J18" s="5"/>
    </row>
    <row r="19" spans="1:10" ht="15.2" customHeight="1" x14ac:dyDescent="0.2">
      <c r="A19" s="71"/>
      <c r="B19" s="74" t="s">
        <v>560</v>
      </c>
      <c r="C19" s="78">
        <f>SUM('Stavební rozpočet'!AG12:AG229)</f>
        <v>0</v>
      </c>
      <c r="D19" s="132"/>
      <c r="E19" s="133"/>
      <c r="F19" s="79"/>
      <c r="G19" s="132" t="s">
        <v>749</v>
      </c>
      <c r="H19" s="133"/>
      <c r="I19" s="79" t="s">
        <v>153</v>
      </c>
      <c r="J19" s="5"/>
    </row>
    <row r="20" spans="1:10" ht="15.2" customHeight="1" x14ac:dyDescent="0.2">
      <c r="A20" s="130" t="s">
        <v>489</v>
      </c>
      <c r="B20" s="131"/>
      <c r="C20" s="78">
        <f>SUM('Stavební rozpočet'!AH12:AH229)</f>
        <v>0</v>
      </c>
      <c r="D20" s="132"/>
      <c r="E20" s="133"/>
      <c r="F20" s="79"/>
      <c r="G20" s="132"/>
      <c r="H20" s="133"/>
      <c r="I20" s="79"/>
      <c r="J20" s="5"/>
    </row>
    <row r="21" spans="1:10" ht="15.2" customHeight="1" x14ac:dyDescent="0.2">
      <c r="A21" s="130" t="s">
        <v>723</v>
      </c>
      <c r="B21" s="131"/>
      <c r="C21" s="78">
        <f>SUM('Stavební rozpočet'!Z12:Z229)</f>
        <v>0</v>
      </c>
      <c r="D21" s="132"/>
      <c r="E21" s="133"/>
      <c r="F21" s="79"/>
      <c r="G21" s="132"/>
      <c r="H21" s="133"/>
      <c r="I21" s="79"/>
      <c r="J21" s="5"/>
    </row>
    <row r="22" spans="1:10" ht="16.7" customHeight="1" x14ac:dyDescent="0.2">
      <c r="A22" s="130" t="s">
        <v>724</v>
      </c>
      <c r="B22" s="131"/>
      <c r="C22" s="78">
        <f>SUM(C14:C21)</f>
        <v>0</v>
      </c>
      <c r="D22" s="130" t="s">
        <v>737</v>
      </c>
      <c r="E22" s="131"/>
      <c r="F22" s="78">
        <f>SUM(F14:F21)</f>
        <v>0</v>
      </c>
      <c r="G22" s="130" t="s">
        <v>750</v>
      </c>
      <c r="H22" s="131"/>
      <c r="I22" s="78">
        <f>SUM(I14:I21)</f>
        <v>0</v>
      </c>
      <c r="J22" s="5"/>
    </row>
    <row r="23" spans="1:10" ht="15.2" customHeight="1" x14ac:dyDescent="0.2">
      <c r="A23" s="8"/>
      <c r="B23" s="8"/>
      <c r="C23" s="76"/>
      <c r="D23" s="130" t="s">
        <v>738</v>
      </c>
      <c r="E23" s="131"/>
      <c r="F23" s="80">
        <v>0</v>
      </c>
      <c r="G23" s="130" t="s">
        <v>751</v>
      </c>
      <c r="H23" s="131"/>
      <c r="I23" s="78">
        <v>0</v>
      </c>
      <c r="J23" s="5"/>
    </row>
    <row r="24" spans="1:10" ht="15.2" customHeight="1" x14ac:dyDescent="0.2">
      <c r="D24" s="8"/>
      <c r="E24" s="8"/>
      <c r="F24" s="81"/>
      <c r="G24" s="130" t="s">
        <v>752</v>
      </c>
      <c r="H24" s="131"/>
      <c r="I24" s="82"/>
    </row>
    <row r="25" spans="1:10" ht="15.2" customHeight="1" x14ac:dyDescent="0.2">
      <c r="F25" s="66"/>
      <c r="G25" s="130" t="s">
        <v>753</v>
      </c>
      <c r="H25" s="131"/>
      <c r="I25" s="78">
        <v>0</v>
      </c>
      <c r="J25" s="5"/>
    </row>
    <row r="26" spans="1:10" x14ac:dyDescent="0.2">
      <c r="A26" s="68"/>
      <c r="B26" s="68"/>
      <c r="C26" s="68"/>
      <c r="G26" s="8"/>
      <c r="H26" s="8"/>
      <c r="I26" s="8"/>
    </row>
    <row r="27" spans="1:10" ht="15.2" customHeight="1" x14ac:dyDescent="0.2">
      <c r="A27" s="125" t="s">
        <v>725</v>
      </c>
      <c r="B27" s="126"/>
      <c r="C27" s="83">
        <f>SUM('Stavební rozpočet'!AJ12:AJ229)</f>
        <v>0</v>
      </c>
      <c r="D27" s="77"/>
      <c r="E27" s="68"/>
      <c r="F27" s="68"/>
      <c r="G27" s="68"/>
      <c r="H27" s="68"/>
      <c r="I27" s="68"/>
    </row>
    <row r="28" spans="1:10" ht="15.2" customHeight="1" x14ac:dyDescent="0.2">
      <c r="A28" s="125" t="s">
        <v>726</v>
      </c>
      <c r="B28" s="126"/>
      <c r="C28" s="83">
        <f>SUM('Stavební rozpočet'!AK12:AK229)+(F22+I22+F23+I23+I24+I25+I14)</f>
        <v>0</v>
      </c>
      <c r="D28" s="125" t="s">
        <v>739</v>
      </c>
      <c r="E28" s="126"/>
      <c r="F28" s="83">
        <f>ROUND(C28*(12/100),2)</f>
        <v>0</v>
      </c>
      <c r="G28" s="125" t="s">
        <v>754</v>
      </c>
      <c r="H28" s="126"/>
      <c r="I28" s="83">
        <f>SUM(C27:C29)</f>
        <v>0</v>
      </c>
      <c r="J28" s="5"/>
    </row>
    <row r="29" spans="1:10" ht="15.2" customHeight="1" x14ac:dyDescent="0.2">
      <c r="A29" s="125" t="s">
        <v>727</v>
      </c>
      <c r="B29" s="126"/>
      <c r="C29" s="83">
        <f>SUM('Stavební rozpočet'!AL12:AL229)</f>
        <v>0</v>
      </c>
      <c r="D29" s="125" t="s">
        <v>740</v>
      </c>
      <c r="E29" s="126"/>
      <c r="F29" s="83">
        <f>ROUND(C29*(21/100),2)</f>
        <v>0</v>
      </c>
      <c r="G29" s="125" t="s">
        <v>755</v>
      </c>
      <c r="H29" s="126"/>
      <c r="I29" s="83">
        <f>SUM(F28:F29)+I28</f>
        <v>0</v>
      </c>
      <c r="J29" s="5"/>
    </row>
    <row r="30" spans="1:10" x14ac:dyDescent="0.2">
      <c r="A30" s="72"/>
      <c r="B30" s="72"/>
      <c r="C30" s="72"/>
      <c r="D30" s="72"/>
      <c r="E30" s="72"/>
      <c r="F30" s="72"/>
      <c r="G30" s="72"/>
      <c r="H30" s="72"/>
      <c r="I30" s="72"/>
    </row>
    <row r="31" spans="1:10" ht="14.45" customHeight="1" x14ac:dyDescent="0.2">
      <c r="A31" s="127" t="s">
        <v>728</v>
      </c>
      <c r="B31" s="128"/>
      <c r="C31" s="129"/>
      <c r="D31" s="127" t="s">
        <v>741</v>
      </c>
      <c r="E31" s="128"/>
      <c r="F31" s="129"/>
      <c r="G31" s="127" t="s">
        <v>756</v>
      </c>
      <c r="H31" s="128"/>
      <c r="I31" s="129"/>
      <c r="J31" s="36"/>
    </row>
    <row r="32" spans="1:10" ht="14.45" customHeight="1" x14ac:dyDescent="0.2">
      <c r="A32" s="119"/>
      <c r="B32" s="120"/>
      <c r="C32" s="121"/>
      <c r="D32" s="119"/>
      <c r="E32" s="120"/>
      <c r="F32" s="121"/>
      <c r="G32" s="119"/>
      <c r="H32" s="120"/>
      <c r="I32" s="121"/>
      <c r="J32" s="36"/>
    </row>
    <row r="33" spans="1:10" ht="14.45" customHeight="1" x14ac:dyDescent="0.2">
      <c r="A33" s="119"/>
      <c r="B33" s="120"/>
      <c r="C33" s="121"/>
      <c r="D33" s="119"/>
      <c r="E33" s="120"/>
      <c r="F33" s="121"/>
      <c r="G33" s="119"/>
      <c r="H33" s="120"/>
      <c r="I33" s="121"/>
      <c r="J33" s="36"/>
    </row>
    <row r="34" spans="1:10" ht="14.45" customHeight="1" x14ac:dyDescent="0.2">
      <c r="A34" s="119"/>
      <c r="B34" s="120"/>
      <c r="C34" s="121"/>
      <c r="D34" s="119"/>
      <c r="E34" s="120"/>
      <c r="F34" s="121"/>
      <c r="G34" s="119"/>
      <c r="H34" s="120"/>
      <c r="I34" s="121"/>
      <c r="J34" s="36"/>
    </row>
    <row r="35" spans="1:10" ht="14.45" customHeight="1" x14ac:dyDescent="0.2">
      <c r="A35" s="122" t="s">
        <v>729</v>
      </c>
      <c r="B35" s="123"/>
      <c r="C35" s="124"/>
      <c r="D35" s="122" t="s">
        <v>729</v>
      </c>
      <c r="E35" s="123"/>
      <c r="F35" s="124"/>
      <c r="G35" s="122" t="s">
        <v>729</v>
      </c>
      <c r="H35" s="123"/>
      <c r="I35" s="124"/>
      <c r="J35" s="36"/>
    </row>
    <row r="36" spans="1:10" ht="11.25" customHeight="1" x14ac:dyDescent="0.2">
      <c r="A36" s="73" t="s">
        <v>151</v>
      </c>
      <c r="B36" s="75"/>
      <c r="C36" s="75"/>
      <c r="D36" s="75"/>
      <c r="E36" s="75"/>
      <c r="F36" s="75"/>
      <c r="G36" s="75"/>
      <c r="H36" s="75"/>
      <c r="I36" s="75"/>
    </row>
    <row r="37" spans="1:10" x14ac:dyDescent="0.2">
      <c r="A37" s="117"/>
      <c r="B37" s="118"/>
      <c r="C37" s="118"/>
      <c r="D37" s="118"/>
      <c r="E37" s="118"/>
      <c r="F37" s="118"/>
      <c r="G37" s="118"/>
      <c r="H37" s="118"/>
      <c r="I37" s="118"/>
    </row>
  </sheetData>
  <sheetProtection algorithmName="SHA-512" hashValue="PdGatIBJKYc4EmG6Bv2L1j/CkaYnKD5H+nw1UcAuGtLZ+tnLtplkYNX83tlbvqS/aot8KtUurVYoRTKovWiQxg==" saltValue="A50acS5EHUvq/vfoSt0smw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232"/>
  <sheetViews>
    <sheetView tabSelected="1" workbookViewId="0">
      <pane ySplit="11" topLeftCell="A186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.42578125" customWidth="1"/>
    <col min="4" max="4" width="119.85546875" customWidth="1"/>
    <col min="7" max="7" width="4.28515625" customWidth="1"/>
    <col min="8" max="8" width="12.85546875" customWidth="1"/>
    <col min="9" max="9" width="12" customWidth="1"/>
    <col min="10" max="12" width="14.28515625" customWidth="1"/>
    <col min="13" max="13" width="11.7109375" style="106" customWidth="1"/>
    <col min="25" max="64" width="12.140625" hidden="1" customWidth="1"/>
  </cols>
  <sheetData>
    <row r="1" spans="1:64" ht="72.95" customHeight="1" x14ac:dyDescent="0.35">
      <c r="A1" s="191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64" x14ac:dyDescent="0.2">
      <c r="A2" s="149" t="s">
        <v>1</v>
      </c>
      <c r="B2" s="150"/>
      <c r="C2" s="151" t="s">
        <v>311</v>
      </c>
      <c r="D2" s="152"/>
      <c r="E2" s="192" t="s">
        <v>531</v>
      </c>
      <c r="F2" s="150"/>
      <c r="G2" s="192" t="s">
        <v>6</v>
      </c>
      <c r="H2" s="150"/>
      <c r="I2" s="193" t="s">
        <v>547</v>
      </c>
      <c r="J2" s="193" t="s">
        <v>553</v>
      </c>
      <c r="K2" s="150"/>
      <c r="L2" s="150"/>
      <c r="M2" s="194"/>
      <c r="N2" s="5"/>
    </row>
    <row r="3" spans="1:64" x14ac:dyDescent="0.2">
      <c r="A3" s="141"/>
      <c r="B3" s="118"/>
      <c r="C3" s="153"/>
      <c r="D3" s="153"/>
      <c r="E3" s="118"/>
      <c r="F3" s="118"/>
      <c r="G3" s="118"/>
      <c r="H3" s="118"/>
      <c r="I3" s="188"/>
      <c r="J3" s="188"/>
      <c r="K3" s="118"/>
      <c r="L3" s="118"/>
      <c r="M3" s="144"/>
      <c r="N3" s="5"/>
    </row>
    <row r="4" spans="1:64" x14ac:dyDescent="0.2">
      <c r="A4" s="140" t="s">
        <v>2</v>
      </c>
      <c r="B4" s="118"/>
      <c r="C4" s="117" t="s">
        <v>312</v>
      </c>
      <c r="D4" s="118"/>
      <c r="E4" s="142" t="s">
        <v>532</v>
      </c>
      <c r="F4" s="118"/>
      <c r="G4" s="142" t="s">
        <v>6</v>
      </c>
      <c r="H4" s="118"/>
      <c r="I4" s="186" t="s">
        <v>548</v>
      </c>
      <c r="J4" s="186" t="s">
        <v>554</v>
      </c>
      <c r="K4" s="118"/>
      <c r="L4" s="118"/>
      <c r="M4" s="144"/>
      <c r="N4" s="5"/>
    </row>
    <row r="5" spans="1:64" x14ac:dyDescent="0.2">
      <c r="A5" s="141"/>
      <c r="B5" s="118"/>
      <c r="C5" s="118"/>
      <c r="D5" s="118"/>
      <c r="E5" s="118"/>
      <c r="F5" s="118"/>
      <c r="G5" s="118"/>
      <c r="H5" s="118"/>
      <c r="I5" s="188"/>
      <c r="J5" s="188"/>
      <c r="K5" s="118"/>
      <c r="L5" s="118"/>
      <c r="M5" s="144"/>
      <c r="N5" s="5"/>
    </row>
    <row r="6" spans="1:64" x14ac:dyDescent="0.2">
      <c r="A6" s="140" t="s">
        <v>3</v>
      </c>
      <c r="B6" s="118"/>
      <c r="C6" s="117" t="s">
        <v>313</v>
      </c>
      <c r="D6" s="118"/>
      <c r="E6" s="142" t="s">
        <v>533</v>
      </c>
      <c r="F6" s="118"/>
      <c r="G6" s="142" t="s">
        <v>6</v>
      </c>
      <c r="H6" s="118"/>
      <c r="I6" s="186" t="s">
        <v>549</v>
      </c>
      <c r="J6" s="195" t="s">
        <v>555</v>
      </c>
      <c r="K6" s="118"/>
      <c r="L6" s="188"/>
      <c r="M6" s="189"/>
      <c r="N6" s="5"/>
    </row>
    <row r="7" spans="1:64" x14ac:dyDescent="0.2">
      <c r="A7" s="141"/>
      <c r="B7" s="118"/>
      <c r="C7" s="118"/>
      <c r="D7" s="118"/>
      <c r="E7" s="118"/>
      <c r="F7" s="118"/>
      <c r="G7" s="118"/>
      <c r="H7" s="118"/>
      <c r="I7" s="188"/>
      <c r="J7" s="188"/>
      <c r="K7" s="118"/>
      <c r="L7" s="188"/>
      <c r="M7" s="189"/>
      <c r="N7" s="5"/>
    </row>
    <row r="8" spans="1:64" x14ac:dyDescent="0.2">
      <c r="A8" s="140" t="s">
        <v>4</v>
      </c>
      <c r="B8" s="118"/>
      <c r="C8" s="117" t="s">
        <v>6</v>
      </c>
      <c r="D8" s="118"/>
      <c r="E8" s="142" t="s">
        <v>534</v>
      </c>
      <c r="F8" s="118"/>
      <c r="G8" s="142" t="s">
        <v>535</v>
      </c>
      <c r="H8" s="118"/>
      <c r="I8" s="186" t="s">
        <v>550</v>
      </c>
      <c r="J8" s="186" t="s">
        <v>556</v>
      </c>
      <c r="K8" s="118"/>
      <c r="L8" s="188"/>
      <c r="M8" s="189"/>
      <c r="N8" s="5"/>
    </row>
    <row r="9" spans="1:64" x14ac:dyDescent="0.2">
      <c r="A9" s="184"/>
      <c r="B9" s="185"/>
      <c r="C9" s="185"/>
      <c r="D9" s="185"/>
      <c r="E9" s="185"/>
      <c r="F9" s="185"/>
      <c r="G9" s="185"/>
      <c r="H9" s="185"/>
      <c r="I9" s="187"/>
      <c r="J9" s="187"/>
      <c r="K9" s="185"/>
      <c r="L9" s="187"/>
      <c r="M9" s="190"/>
      <c r="N9" s="5"/>
    </row>
    <row r="10" spans="1:64" x14ac:dyDescent="0.2">
      <c r="A10" s="1" t="s">
        <v>5</v>
      </c>
      <c r="B10" s="10" t="s">
        <v>152</v>
      </c>
      <c r="C10" s="173" t="s">
        <v>314</v>
      </c>
      <c r="D10" s="174"/>
      <c r="E10" s="174"/>
      <c r="F10" s="175"/>
      <c r="G10" s="10" t="s">
        <v>536</v>
      </c>
      <c r="H10" s="20" t="s">
        <v>546</v>
      </c>
      <c r="I10" s="23" t="s">
        <v>551</v>
      </c>
      <c r="J10" s="176" t="s">
        <v>557</v>
      </c>
      <c r="K10" s="177"/>
      <c r="L10" s="178"/>
      <c r="M10" s="99" t="s">
        <v>562</v>
      </c>
      <c r="N10" s="36"/>
      <c r="BK10" s="37" t="s">
        <v>620</v>
      </c>
      <c r="BL10" s="42" t="s">
        <v>623</v>
      </c>
    </row>
    <row r="11" spans="1:64" x14ac:dyDescent="0.2">
      <c r="A11" s="2" t="s">
        <v>6</v>
      </c>
      <c r="B11" s="11" t="s">
        <v>6</v>
      </c>
      <c r="C11" s="179" t="s">
        <v>315</v>
      </c>
      <c r="D11" s="180"/>
      <c r="E11" s="180"/>
      <c r="F11" s="181"/>
      <c r="G11" s="11" t="s">
        <v>6</v>
      </c>
      <c r="H11" s="11" t="s">
        <v>6</v>
      </c>
      <c r="I11" s="24" t="s">
        <v>552</v>
      </c>
      <c r="J11" s="29" t="s">
        <v>558</v>
      </c>
      <c r="K11" s="30" t="s">
        <v>560</v>
      </c>
      <c r="L11" s="31" t="s">
        <v>561</v>
      </c>
      <c r="M11" s="100" t="s">
        <v>563</v>
      </c>
      <c r="N11" s="36"/>
      <c r="Z11" s="37" t="s">
        <v>564</v>
      </c>
      <c r="AA11" s="37" t="s">
        <v>565</v>
      </c>
      <c r="AB11" s="37" t="s">
        <v>566</v>
      </c>
      <c r="AC11" s="37" t="s">
        <v>567</v>
      </c>
      <c r="AD11" s="37" t="s">
        <v>568</v>
      </c>
      <c r="AE11" s="37" t="s">
        <v>569</v>
      </c>
      <c r="AF11" s="37" t="s">
        <v>570</v>
      </c>
      <c r="AG11" s="37" t="s">
        <v>571</v>
      </c>
      <c r="AH11" s="37" t="s">
        <v>572</v>
      </c>
      <c r="BH11" s="37" t="s">
        <v>617</v>
      </c>
      <c r="BI11" s="37" t="s">
        <v>618</v>
      </c>
      <c r="BJ11" s="37" t="s">
        <v>619</v>
      </c>
    </row>
    <row r="12" spans="1:64" x14ac:dyDescent="0.2">
      <c r="A12" s="3"/>
      <c r="B12" s="12" t="s">
        <v>153</v>
      </c>
      <c r="C12" s="182" t="s">
        <v>316</v>
      </c>
      <c r="D12" s="183"/>
      <c r="E12" s="183"/>
      <c r="F12" s="183"/>
      <c r="G12" s="18" t="s">
        <v>6</v>
      </c>
      <c r="H12" s="18" t="s">
        <v>6</v>
      </c>
      <c r="I12" s="25" t="s">
        <v>6</v>
      </c>
      <c r="J12" s="43">
        <f>SUM(J13:J13)</f>
        <v>0</v>
      </c>
      <c r="K12" s="43">
        <f>SUM(K13:K13)</f>
        <v>0</v>
      </c>
      <c r="L12" s="43">
        <f>SUM(L13:L13)</f>
        <v>0</v>
      </c>
      <c r="M12" s="101"/>
      <c r="N12" s="5"/>
      <c r="AI12" s="37"/>
      <c r="AS12" s="44">
        <f>SUM(AJ13:AJ13)</f>
        <v>0</v>
      </c>
      <c r="AT12" s="44">
        <f>SUM(AK13:AK13)</f>
        <v>0</v>
      </c>
      <c r="AU12" s="44">
        <f>SUM(AL13:AL13)</f>
        <v>0</v>
      </c>
    </row>
    <row r="13" spans="1:64" x14ac:dyDescent="0.2">
      <c r="A13" s="4" t="s">
        <v>7</v>
      </c>
      <c r="B13" s="13" t="s">
        <v>154</v>
      </c>
      <c r="C13" s="164" t="s">
        <v>317</v>
      </c>
      <c r="D13" s="165"/>
      <c r="E13" s="165"/>
      <c r="F13" s="165"/>
      <c r="G13" s="13" t="s">
        <v>537</v>
      </c>
      <c r="H13" s="21">
        <v>1.7</v>
      </c>
      <c r="I13" s="26">
        <v>0</v>
      </c>
      <c r="J13" s="21">
        <f>H13*AO13</f>
        <v>0</v>
      </c>
      <c r="K13" s="21">
        <f>H13*AP13</f>
        <v>0</v>
      </c>
      <c r="L13" s="21">
        <f>H13*I13</f>
        <v>0</v>
      </c>
      <c r="M13" s="102" t="s">
        <v>763</v>
      </c>
      <c r="N13" s="5"/>
      <c r="Z13" s="38">
        <f>IF(AQ13="5",BJ13,0)</f>
        <v>0</v>
      </c>
      <c r="AB13" s="38">
        <f>IF(AQ13="1",BH13,0)</f>
        <v>0</v>
      </c>
      <c r="AC13" s="38">
        <f>IF(AQ13="1",BI13,0)</f>
        <v>0</v>
      </c>
      <c r="AD13" s="38">
        <f>IF(AQ13="7",BH13,0)</f>
        <v>0</v>
      </c>
      <c r="AE13" s="38">
        <f>IF(AQ13="7",BI13,0)</f>
        <v>0</v>
      </c>
      <c r="AF13" s="38">
        <f>IF(AQ13="2",BH13,0)</f>
        <v>0</v>
      </c>
      <c r="AG13" s="38">
        <f>IF(AQ13="2",BI13,0)</f>
        <v>0</v>
      </c>
      <c r="AH13" s="38">
        <f>IF(AQ13="0",BJ13,0)</f>
        <v>0</v>
      </c>
      <c r="AI13" s="37"/>
      <c r="AJ13" s="21">
        <f>IF(AN13=0,L13,0)</f>
        <v>0</v>
      </c>
      <c r="AK13" s="21">
        <f>IF(AN13=12,L13,0)</f>
        <v>0</v>
      </c>
      <c r="AL13" s="21">
        <f>IF(AN13=21,L13,0)</f>
        <v>0</v>
      </c>
      <c r="AN13" s="38">
        <v>12</v>
      </c>
      <c r="AO13" s="38">
        <f>I13*0</f>
        <v>0</v>
      </c>
      <c r="AP13" s="38">
        <f>I13*(1-0)</f>
        <v>0</v>
      </c>
      <c r="AQ13" s="39" t="s">
        <v>7</v>
      </c>
      <c r="AV13" s="38">
        <f>AW13+AX13</f>
        <v>0</v>
      </c>
      <c r="AW13" s="38">
        <f>H13*AO13</f>
        <v>0</v>
      </c>
      <c r="AX13" s="38">
        <f>H13*AP13</f>
        <v>0</v>
      </c>
      <c r="AY13" s="41" t="s">
        <v>573</v>
      </c>
      <c r="AZ13" s="41" t="s">
        <v>573</v>
      </c>
      <c r="BA13" s="37" t="s">
        <v>616</v>
      </c>
      <c r="BC13" s="38">
        <f>AW13+AX13</f>
        <v>0</v>
      </c>
      <c r="BD13" s="38">
        <f>I13/(100-BE13)*100</f>
        <v>0</v>
      </c>
      <c r="BE13" s="38">
        <v>0</v>
      </c>
      <c r="BF13" s="38">
        <f>13</f>
        <v>13</v>
      </c>
      <c r="BH13" s="21">
        <f>H13*AO13</f>
        <v>0</v>
      </c>
      <c r="BI13" s="21">
        <f>H13*AP13</f>
        <v>0</v>
      </c>
      <c r="BJ13" s="21">
        <f>H13*I13</f>
        <v>0</v>
      </c>
      <c r="BK13" s="21" t="s">
        <v>621</v>
      </c>
      <c r="BL13" s="38">
        <v>0</v>
      </c>
    </row>
    <row r="14" spans="1:64" x14ac:dyDescent="0.2">
      <c r="A14" s="5"/>
      <c r="B14" s="14" t="s">
        <v>155</v>
      </c>
      <c r="C14" s="168" t="s">
        <v>318</v>
      </c>
      <c r="D14" s="169"/>
      <c r="E14" s="169"/>
      <c r="F14" s="169"/>
      <c r="G14" s="169"/>
      <c r="H14" s="169"/>
      <c r="I14" s="170"/>
      <c r="J14" s="169"/>
      <c r="K14" s="169"/>
      <c r="L14" s="169"/>
      <c r="M14" s="171"/>
      <c r="N14" s="5"/>
    </row>
    <row r="15" spans="1:64" x14ac:dyDescent="0.2">
      <c r="A15" s="6"/>
      <c r="B15" s="15" t="s">
        <v>37</v>
      </c>
      <c r="C15" s="166" t="s">
        <v>319</v>
      </c>
      <c r="D15" s="167"/>
      <c r="E15" s="167"/>
      <c r="F15" s="167"/>
      <c r="G15" s="19" t="s">
        <v>6</v>
      </c>
      <c r="H15" s="19" t="s">
        <v>6</v>
      </c>
      <c r="I15" s="27" t="s">
        <v>6</v>
      </c>
      <c r="J15" s="44">
        <f>SUM(J16:J20)</f>
        <v>0</v>
      </c>
      <c r="K15" s="44">
        <f>SUM(K16:K20)</f>
        <v>0</v>
      </c>
      <c r="L15" s="44">
        <f>SUM(L16:L20)</f>
        <v>0</v>
      </c>
      <c r="M15" s="103"/>
      <c r="N15" s="5"/>
      <c r="AI15" s="37"/>
      <c r="AS15" s="44">
        <f>SUM(AJ16:AJ20)</f>
        <v>0</v>
      </c>
      <c r="AT15" s="44">
        <f>SUM(AK16:AK20)</f>
        <v>0</v>
      </c>
      <c r="AU15" s="44">
        <f>SUM(AL16:AL20)</f>
        <v>0</v>
      </c>
    </row>
    <row r="16" spans="1:64" x14ac:dyDescent="0.2">
      <c r="A16" s="4" t="s">
        <v>8</v>
      </c>
      <c r="B16" s="13" t="s">
        <v>156</v>
      </c>
      <c r="C16" s="164" t="s">
        <v>320</v>
      </c>
      <c r="D16" s="165"/>
      <c r="E16" s="165"/>
      <c r="F16" s="165"/>
      <c r="G16" s="13" t="s">
        <v>538</v>
      </c>
      <c r="H16" s="21">
        <v>0.27</v>
      </c>
      <c r="I16" s="26">
        <v>0</v>
      </c>
      <c r="J16" s="21">
        <f>H16*AO16</f>
        <v>0</v>
      </c>
      <c r="K16" s="21">
        <f>H16*AP16</f>
        <v>0</v>
      </c>
      <c r="L16" s="21">
        <f>H16*I16</f>
        <v>0</v>
      </c>
      <c r="M16" s="102" t="s">
        <v>763</v>
      </c>
      <c r="N16" s="5"/>
      <c r="Z16" s="38">
        <f>IF(AQ16="5",BJ16,0)</f>
        <v>0</v>
      </c>
      <c r="AB16" s="38">
        <f>IF(AQ16="1",BH16,0)</f>
        <v>0</v>
      </c>
      <c r="AC16" s="38">
        <f>IF(AQ16="1",BI16,0)</f>
        <v>0</v>
      </c>
      <c r="AD16" s="38">
        <f>IF(AQ16="7",BH16,0)</f>
        <v>0</v>
      </c>
      <c r="AE16" s="38">
        <f>IF(AQ16="7",BI16,0)</f>
        <v>0</v>
      </c>
      <c r="AF16" s="38">
        <f>IF(AQ16="2",BH16,0)</f>
        <v>0</v>
      </c>
      <c r="AG16" s="38">
        <f>IF(AQ16="2",BI16,0)</f>
        <v>0</v>
      </c>
      <c r="AH16" s="38">
        <f>IF(AQ16="0",BJ16,0)</f>
        <v>0</v>
      </c>
      <c r="AI16" s="37"/>
      <c r="AJ16" s="21">
        <f>IF(AN16=0,L16,0)</f>
        <v>0</v>
      </c>
      <c r="AK16" s="21">
        <f>IF(AN16=12,L16,0)</f>
        <v>0</v>
      </c>
      <c r="AL16" s="21">
        <f>IF(AN16=21,L16,0)</f>
        <v>0</v>
      </c>
      <c r="AN16" s="38">
        <v>12</v>
      </c>
      <c r="AO16" s="38">
        <f>I16*0.799903724928367</f>
        <v>0</v>
      </c>
      <c r="AP16" s="38">
        <f>I16*(1-0.799903724928367)</f>
        <v>0</v>
      </c>
      <c r="AQ16" s="39" t="s">
        <v>7</v>
      </c>
      <c r="AV16" s="38">
        <f>AW16+AX16</f>
        <v>0</v>
      </c>
      <c r="AW16" s="38">
        <f>H16*AO16</f>
        <v>0</v>
      </c>
      <c r="AX16" s="38">
        <f>H16*AP16</f>
        <v>0</v>
      </c>
      <c r="AY16" s="41" t="s">
        <v>574</v>
      </c>
      <c r="AZ16" s="41" t="s">
        <v>606</v>
      </c>
      <c r="BA16" s="37" t="s">
        <v>616</v>
      </c>
      <c r="BC16" s="38">
        <f>AW16+AX16</f>
        <v>0</v>
      </c>
      <c r="BD16" s="38">
        <f>I16/(100-BE16)*100</f>
        <v>0</v>
      </c>
      <c r="BE16" s="38">
        <v>0</v>
      </c>
      <c r="BF16" s="38">
        <f>16</f>
        <v>16</v>
      </c>
      <c r="BH16" s="21">
        <f>H16*AO16</f>
        <v>0</v>
      </c>
      <c r="BI16" s="21">
        <f>H16*AP16</f>
        <v>0</v>
      </c>
      <c r="BJ16" s="21">
        <f>H16*I16</f>
        <v>0</v>
      </c>
      <c r="BK16" s="21" t="s">
        <v>621</v>
      </c>
      <c r="BL16" s="38">
        <v>31</v>
      </c>
    </row>
    <row r="17" spans="1:64" x14ac:dyDescent="0.2">
      <c r="A17" s="5"/>
      <c r="B17" s="14" t="s">
        <v>155</v>
      </c>
      <c r="C17" s="168" t="s">
        <v>321</v>
      </c>
      <c r="D17" s="169"/>
      <c r="E17" s="169"/>
      <c r="F17" s="169"/>
      <c r="G17" s="169"/>
      <c r="H17" s="169"/>
      <c r="I17" s="170"/>
      <c r="J17" s="169"/>
      <c r="K17" s="169"/>
      <c r="L17" s="169"/>
      <c r="M17" s="171"/>
      <c r="N17" s="5"/>
    </row>
    <row r="18" spans="1:64" x14ac:dyDescent="0.2">
      <c r="A18" s="85" t="s">
        <v>9</v>
      </c>
      <c r="B18" s="86" t="s">
        <v>157</v>
      </c>
      <c r="C18" s="163" t="s">
        <v>322</v>
      </c>
      <c r="D18" s="165"/>
      <c r="E18" s="165"/>
      <c r="F18" s="165"/>
      <c r="G18" s="86" t="s">
        <v>539</v>
      </c>
      <c r="H18" s="87">
        <v>15.4857</v>
      </c>
      <c r="I18" s="96">
        <v>0</v>
      </c>
      <c r="J18" s="87">
        <f>H18*AO18</f>
        <v>0</v>
      </c>
      <c r="K18" s="87">
        <f>H18*AP18</f>
        <v>0</v>
      </c>
      <c r="L18" s="87">
        <f>H18*I18</f>
        <v>0</v>
      </c>
      <c r="M18" s="102" t="s">
        <v>763</v>
      </c>
      <c r="N18" s="5"/>
      <c r="Z18" s="38">
        <f>IF(AQ18="5",BJ18,0)</f>
        <v>0</v>
      </c>
      <c r="AB18" s="38">
        <f>IF(AQ18="1",BH18,0)</f>
        <v>0</v>
      </c>
      <c r="AC18" s="38">
        <f>IF(AQ18="1",BI18,0)</f>
        <v>0</v>
      </c>
      <c r="AD18" s="38">
        <f>IF(AQ18="7",BH18,0)</f>
        <v>0</v>
      </c>
      <c r="AE18" s="38">
        <f>IF(AQ18="7",BI18,0)</f>
        <v>0</v>
      </c>
      <c r="AF18" s="38">
        <f>IF(AQ18="2",BH18,0)</f>
        <v>0</v>
      </c>
      <c r="AG18" s="38">
        <f>IF(AQ18="2",BI18,0)</f>
        <v>0</v>
      </c>
      <c r="AH18" s="38">
        <f>IF(AQ18="0",BJ18,0)</f>
        <v>0</v>
      </c>
      <c r="AI18" s="37"/>
      <c r="AJ18" s="21">
        <f>IF(AN18=0,L18,0)</f>
        <v>0</v>
      </c>
      <c r="AK18" s="21">
        <f>IF(AN18=12,L18,0)</f>
        <v>0</v>
      </c>
      <c r="AL18" s="21">
        <f>IF(AN18=21,L18,0)</f>
        <v>0</v>
      </c>
      <c r="AN18" s="38">
        <v>12</v>
      </c>
      <c r="AO18" s="38">
        <f>I18*0.783699764355116</f>
        <v>0</v>
      </c>
      <c r="AP18" s="38">
        <f>I18*(1-0.783699764355116)</f>
        <v>0</v>
      </c>
      <c r="AQ18" s="39" t="s">
        <v>7</v>
      </c>
      <c r="AV18" s="38">
        <f>AW18+AX18</f>
        <v>0</v>
      </c>
      <c r="AW18" s="38">
        <f>H18*AO18</f>
        <v>0</v>
      </c>
      <c r="AX18" s="38">
        <f>H18*AP18</f>
        <v>0</v>
      </c>
      <c r="AY18" s="41" t="s">
        <v>574</v>
      </c>
      <c r="AZ18" s="41" t="s">
        <v>606</v>
      </c>
      <c r="BA18" s="37" t="s">
        <v>616</v>
      </c>
      <c r="BC18" s="38">
        <f>AW18+AX18</f>
        <v>0</v>
      </c>
      <c r="BD18" s="38">
        <f>I18/(100-BE18)*100</f>
        <v>0</v>
      </c>
      <c r="BE18" s="38">
        <v>0</v>
      </c>
      <c r="BF18" s="38">
        <f>18</f>
        <v>18</v>
      </c>
      <c r="BH18" s="21">
        <f>H18*AO18</f>
        <v>0</v>
      </c>
      <c r="BI18" s="21">
        <f>H18*AP18</f>
        <v>0</v>
      </c>
      <c r="BJ18" s="21">
        <f>H18*I18</f>
        <v>0</v>
      </c>
      <c r="BK18" s="21" t="s">
        <v>621</v>
      </c>
      <c r="BL18" s="38">
        <v>31</v>
      </c>
    </row>
    <row r="19" spans="1:64" x14ac:dyDescent="0.2">
      <c r="A19" s="5"/>
      <c r="B19" s="14" t="s">
        <v>155</v>
      </c>
      <c r="C19" s="168" t="s">
        <v>323</v>
      </c>
      <c r="D19" s="169"/>
      <c r="E19" s="169"/>
      <c r="F19" s="169"/>
      <c r="G19" s="169"/>
      <c r="H19" s="169"/>
      <c r="I19" s="170"/>
      <c r="J19" s="169"/>
      <c r="K19" s="169"/>
      <c r="L19" s="169"/>
      <c r="M19" s="171"/>
      <c r="N19" s="5"/>
    </row>
    <row r="20" spans="1:64" x14ac:dyDescent="0.2">
      <c r="A20" s="4" t="s">
        <v>10</v>
      </c>
      <c r="B20" s="13" t="s">
        <v>158</v>
      </c>
      <c r="C20" s="172" t="s">
        <v>324</v>
      </c>
      <c r="D20" s="165"/>
      <c r="E20" s="165"/>
      <c r="F20" s="165"/>
      <c r="G20" s="13" t="s">
        <v>540</v>
      </c>
      <c r="H20" s="21">
        <v>1</v>
      </c>
      <c r="I20" s="26">
        <v>0</v>
      </c>
      <c r="J20" s="21">
        <f>H20*AO20</f>
        <v>0</v>
      </c>
      <c r="K20" s="21">
        <f>H20*AP20</f>
        <v>0</v>
      </c>
      <c r="L20" s="21">
        <f>H20*I20</f>
        <v>0</v>
      </c>
      <c r="M20" s="102" t="s">
        <v>764</v>
      </c>
      <c r="N20" s="5"/>
      <c r="Z20" s="38">
        <f>IF(AQ20="5",BJ20,0)</f>
        <v>0</v>
      </c>
      <c r="AB20" s="38">
        <f>IF(AQ20="1",BH20,0)</f>
        <v>0</v>
      </c>
      <c r="AC20" s="38">
        <f>IF(AQ20="1",BI20,0)</f>
        <v>0</v>
      </c>
      <c r="AD20" s="38">
        <f>IF(AQ20="7",BH20,0)</f>
        <v>0</v>
      </c>
      <c r="AE20" s="38">
        <f>IF(AQ20="7",BI20,0)</f>
        <v>0</v>
      </c>
      <c r="AF20" s="38">
        <f>IF(AQ20="2",BH20,0)</f>
        <v>0</v>
      </c>
      <c r="AG20" s="38">
        <f>IF(AQ20="2",BI20,0)</f>
        <v>0</v>
      </c>
      <c r="AH20" s="38">
        <f>IF(AQ20="0",BJ20,0)</f>
        <v>0</v>
      </c>
      <c r="AI20" s="37"/>
      <c r="AJ20" s="21">
        <f>IF(AN20=0,L20,0)</f>
        <v>0</v>
      </c>
      <c r="AK20" s="21">
        <f>IF(AN20=12,L20,0)</f>
        <v>0</v>
      </c>
      <c r="AL20" s="21">
        <f>IF(AN20=21,L20,0)</f>
        <v>0</v>
      </c>
      <c r="AN20" s="38">
        <v>12</v>
      </c>
      <c r="AO20" s="38">
        <f>I20*0.168454779358221</f>
        <v>0</v>
      </c>
      <c r="AP20" s="38">
        <f>I20*(1-0.168454779358221)</f>
        <v>0</v>
      </c>
      <c r="AQ20" s="39" t="s">
        <v>7</v>
      </c>
      <c r="AV20" s="38">
        <f>AW20+AX20</f>
        <v>0</v>
      </c>
      <c r="AW20" s="38">
        <f>H20*AO20</f>
        <v>0</v>
      </c>
      <c r="AX20" s="38">
        <f>H20*AP20</f>
        <v>0</v>
      </c>
      <c r="AY20" s="41" t="s">
        <v>574</v>
      </c>
      <c r="AZ20" s="41" t="s">
        <v>606</v>
      </c>
      <c r="BA20" s="37" t="s">
        <v>616</v>
      </c>
      <c r="BC20" s="38">
        <f>AW20+AX20</f>
        <v>0</v>
      </c>
      <c r="BD20" s="38">
        <f>I20/(100-BE20)*100</f>
        <v>0</v>
      </c>
      <c r="BE20" s="38">
        <v>0</v>
      </c>
      <c r="BF20" s="38">
        <f>20</f>
        <v>20</v>
      </c>
      <c r="BH20" s="21">
        <f>H20*AO20</f>
        <v>0</v>
      </c>
      <c r="BI20" s="21">
        <f>H20*AP20</f>
        <v>0</v>
      </c>
      <c r="BJ20" s="21">
        <f>H20*I20</f>
        <v>0</v>
      </c>
      <c r="BK20" s="21" t="s">
        <v>621</v>
      </c>
      <c r="BL20" s="38">
        <v>31</v>
      </c>
    </row>
    <row r="21" spans="1:64" x14ac:dyDescent="0.2">
      <c r="A21" s="6"/>
      <c r="B21" s="15" t="s">
        <v>38</v>
      </c>
      <c r="C21" s="166" t="s">
        <v>325</v>
      </c>
      <c r="D21" s="167"/>
      <c r="E21" s="167"/>
      <c r="F21" s="167"/>
      <c r="G21" s="19" t="s">
        <v>6</v>
      </c>
      <c r="H21" s="19" t="s">
        <v>6</v>
      </c>
      <c r="I21" s="27" t="s">
        <v>6</v>
      </c>
      <c r="J21" s="44">
        <f>SUM(J22:J22)</f>
        <v>0</v>
      </c>
      <c r="K21" s="44">
        <f>SUM(K22:K22)</f>
        <v>0</v>
      </c>
      <c r="L21" s="44">
        <f>SUM(L22:L22)</f>
        <v>0</v>
      </c>
      <c r="M21" s="103"/>
      <c r="N21" s="5"/>
      <c r="AI21" s="37"/>
      <c r="AS21" s="44">
        <f>SUM(AJ22:AJ22)</f>
        <v>0</v>
      </c>
      <c r="AT21" s="44">
        <f>SUM(AK22:AK22)</f>
        <v>0</v>
      </c>
      <c r="AU21" s="44">
        <f>SUM(AL22:AL22)</f>
        <v>0</v>
      </c>
    </row>
    <row r="22" spans="1:64" x14ac:dyDescent="0.2">
      <c r="A22" s="4" t="s">
        <v>11</v>
      </c>
      <c r="B22" s="13" t="s">
        <v>159</v>
      </c>
      <c r="C22" s="164" t="s">
        <v>326</v>
      </c>
      <c r="D22" s="165"/>
      <c r="E22" s="165"/>
      <c r="F22" s="165"/>
      <c r="G22" s="13" t="s">
        <v>540</v>
      </c>
      <c r="H22" s="21">
        <v>2</v>
      </c>
      <c r="I22" s="26">
        <v>0</v>
      </c>
      <c r="J22" s="21">
        <f>H22*AO22</f>
        <v>0</v>
      </c>
      <c r="K22" s="21">
        <f>H22*AP22</f>
        <v>0</v>
      </c>
      <c r="L22" s="21">
        <f>H22*I22</f>
        <v>0</v>
      </c>
      <c r="M22" s="102" t="s">
        <v>763</v>
      </c>
      <c r="N22" s="5"/>
      <c r="Z22" s="38">
        <f>IF(AQ22="5",BJ22,0)</f>
        <v>0</v>
      </c>
      <c r="AB22" s="38">
        <f>IF(AQ22="1",BH22,0)</f>
        <v>0</v>
      </c>
      <c r="AC22" s="38">
        <f>IF(AQ22="1",BI22,0)</f>
        <v>0</v>
      </c>
      <c r="AD22" s="38">
        <f>IF(AQ22="7",BH22,0)</f>
        <v>0</v>
      </c>
      <c r="AE22" s="38">
        <f>IF(AQ22="7",BI22,0)</f>
        <v>0</v>
      </c>
      <c r="AF22" s="38">
        <f>IF(AQ22="2",BH22,0)</f>
        <v>0</v>
      </c>
      <c r="AG22" s="38">
        <f>IF(AQ22="2",BI22,0)</f>
        <v>0</v>
      </c>
      <c r="AH22" s="38">
        <f>IF(AQ22="0",BJ22,0)</f>
        <v>0</v>
      </c>
      <c r="AI22" s="37"/>
      <c r="AJ22" s="21">
        <f>IF(AN22=0,L22,0)</f>
        <v>0</v>
      </c>
      <c r="AK22" s="21">
        <f>IF(AN22=12,L22,0)</f>
        <v>0</v>
      </c>
      <c r="AL22" s="21">
        <f>IF(AN22=21,L22,0)</f>
        <v>0</v>
      </c>
      <c r="AN22" s="38">
        <v>12</v>
      </c>
      <c r="AO22" s="38">
        <f>I22*0.231442867546622</f>
        <v>0</v>
      </c>
      <c r="AP22" s="38">
        <f>I22*(1-0.231442867546622)</f>
        <v>0</v>
      </c>
      <c r="AQ22" s="39" t="s">
        <v>7</v>
      </c>
      <c r="AV22" s="38">
        <f>AW22+AX22</f>
        <v>0</v>
      </c>
      <c r="AW22" s="38">
        <f>H22*AO22</f>
        <v>0</v>
      </c>
      <c r="AX22" s="38">
        <f>H22*AP22</f>
        <v>0</v>
      </c>
      <c r="AY22" s="41" t="s">
        <v>575</v>
      </c>
      <c r="AZ22" s="41" t="s">
        <v>606</v>
      </c>
      <c r="BA22" s="37" t="s">
        <v>616</v>
      </c>
      <c r="BC22" s="38">
        <f>AW22+AX22</f>
        <v>0</v>
      </c>
      <c r="BD22" s="38">
        <f>I22/(100-BE22)*100</f>
        <v>0</v>
      </c>
      <c r="BE22" s="38">
        <v>0</v>
      </c>
      <c r="BF22" s="38">
        <f>22</f>
        <v>22</v>
      </c>
      <c r="BH22" s="21">
        <f>H22*AO22</f>
        <v>0</v>
      </c>
      <c r="BI22" s="21">
        <f>H22*AP22</f>
        <v>0</v>
      </c>
      <c r="BJ22" s="21">
        <f>H22*I22</f>
        <v>0</v>
      </c>
      <c r="BK22" s="21" t="s">
        <v>621</v>
      </c>
      <c r="BL22" s="38">
        <v>32</v>
      </c>
    </row>
    <row r="23" spans="1:64" x14ac:dyDescent="0.2">
      <c r="A23" s="5"/>
      <c r="B23" s="14" t="s">
        <v>155</v>
      </c>
      <c r="C23" s="168" t="s">
        <v>327</v>
      </c>
      <c r="D23" s="169"/>
      <c r="E23" s="169"/>
      <c r="F23" s="169"/>
      <c r="G23" s="169"/>
      <c r="H23" s="169"/>
      <c r="I23" s="170"/>
      <c r="J23" s="169"/>
      <c r="K23" s="169"/>
      <c r="L23" s="169"/>
      <c r="M23" s="171"/>
      <c r="N23" s="5"/>
    </row>
    <row r="24" spans="1:64" x14ac:dyDescent="0.2">
      <c r="A24" s="6"/>
      <c r="B24" s="15" t="s">
        <v>160</v>
      </c>
      <c r="C24" s="166" t="s">
        <v>328</v>
      </c>
      <c r="D24" s="167"/>
      <c r="E24" s="167"/>
      <c r="F24" s="167"/>
      <c r="G24" s="19" t="s">
        <v>6</v>
      </c>
      <c r="H24" s="19" t="s">
        <v>6</v>
      </c>
      <c r="I24" s="27" t="s">
        <v>6</v>
      </c>
      <c r="J24" s="44">
        <f>SUM(J25:J25)</f>
        <v>0</v>
      </c>
      <c r="K24" s="44">
        <f>SUM(K25:K25)</f>
        <v>0</v>
      </c>
      <c r="L24" s="44">
        <f>SUM(L25:L25)</f>
        <v>0</v>
      </c>
      <c r="M24" s="103"/>
      <c r="N24" s="5"/>
      <c r="AI24" s="37"/>
      <c r="AS24" s="44">
        <f>SUM(AJ25:AJ25)</f>
        <v>0</v>
      </c>
      <c r="AT24" s="44">
        <f>SUM(AK25:AK25)</f>
        <v>0</v>
      </c>
      <c r="AU24" s="44">
        <f>SUM(AL25:AL25)</f>
        <v>0</v>
      </c>
    </row>
    <row r="25" spans="1:64" x14ac:dyDescent="0.2">
      <c r="A25" s="85" t="s">
        <v>12</v>
      </c>
      <c r="B25" s="86" t="s">
        <v>161</v>
      </c>
      <c r="C25" s="163" t="s">
        <v>329</v>
      </c>
      <c r="D25" s="165"/>
      <c r="E25" s="165"/>
      <c r="F25" s="165"/>
      <c r="G25" s="86" t="s">
        <v>541</v>
      </c>
      <c r="H25" s="87">
        <v>221.34</v>
      </c>
      <c r="I25" s="96">
        <v>0</v>
      </c>
      <c r="J25" s="87">
        <f>H25*AO25</f>
        <v>0</v>
      </c>
      <c r="K25" s="87">
        <f>H25*AP25</f>
        <v>0</v>
      </c>
      <c r="L25" s="87">
        <f>H25*I25</f>
        <v>0</v>
      </c>
      <c r="M25" s="104" t="s">
        <v>764</v>
      </c>
      <c r="N25" s="5"/>
      <c r="Z25" s="38">
        <f>IF(AQ25="5",BJ25,0)</f>
        <v>0</v>
      </c>
      <c r="AB25" s="38">
        <f>IF(AQ25="1",BH25,0)</f>
        <v>0</v>
      </c>
      <c r="AC25" s="38">
        <f>IF(AQ25="1",BI25,0)</f>
        <v>0</v>
      </c>
      <c r="AD25" s="38">
        <f>IF(AQ25="7",BH25,0)</f>
        <v>0</v>
      </c>
      <c r="AE25" s="38">
        <f>IF(AQ25="7",BI25,0)</f>
        <v>0</v>
      </c>
      <c r="AF25" s="38">
        <f>IF(AQ25="2",BH25,0)</f>
        <v>0</v>
      </c>
      <c r="AG25" s="38">
        <f>IF(AQ25="2",BI25,0)</f>
        <v>0</v>
      </c>
      <c r="AH25" s="38">
        <f>IF(AQ25="0",BJ25,0)</f>
        <v>0</v>
      </c>
      <c r="AI25" s="37"/>
      <c r="AJ25" s="21">
        <f>IF(AN25=0,L25,0)</f>
        <v>0</v>
      </c>
      <c r="AK25" s="21">
        <f>IF(AN25=12,L25,0)</f>
        <v>0</v>
      </c>
      <c r="AL25" s="21">
        <f>IF(AN25=21,L25,0)</f>
        <v>0</v>
      </c>
      <c r="AN25" s="38">
        <v>12</v>
      </c>
      <c r="AO25" s="38">
        <f>I25*0.517241379310345</f>
        <v>0</v>
      </c>
      <c r="AP25" s="38">
        <f>I25*(1-0.517241379310345)</f>
        <v>0</v>
      </c>
      <c r="AQ25" s="39" t="s">
        <v>7</v>
      </c>
      <c r="AV25" s="38">
        <f>AW25+AX25</f>
        <v>0</v>
      </c>
      <c r="AW25" s="38">
        <f>H25*AO25</f>
        <v>0</v>
      </c>
      <c r="AX25" s="38">
        <f>H25*AP25</f>
        <v>0</v>
      </c>
      <c r="AY25" s="41" t="s">
        <v>576</v>
      </c>
      <c r="AZ25" s="41" t="s">
        <v>607</v>
      </c>
      <c r="BA25" s="37" t="s">
        <v>616</v>
      </c>
      <c r="BC25" s="38">
        <f>AW25+AX25</f>
        <v>0</v>
      </c>
      <c r="BD25" s="38">
        <f>I25/(100-BE25)*100</f>
        <v>0</v>
      </c>
      <c r="BE25" s="38">
        <v>0</v>
      </c>
      <c r="BF25" s="38">
        <f>25</f>
        <v>25</v>
      </c>
      <c r="BH25" s="21">
        <f>H25*AO25</f>
        <v>0</v>
      </c>
      <c r="BI25" s="21">
        <f>H25*AP25</f>
        <v>0</v>
      </c>
      <c r="BJ25" s="21">
        <f>H25*I25</f>
        <v>0</v>
      </c>
      <c r="BK25" s="21" t="s">
        <v>621</v>
      </c>
      <c r="BL25" s="38" t="s">
        <v>160</v>
      </c>
    </row>
    <row r="26" spans="1:64" x14ac:dyDescent="0.2">
      <c r="A26" s="6"/>
      <c r="B26" s="15" t="s">
        <v>40</v>
      </c>
      <c r="C26" s="166" t="s">
        <v>330</v>
      </c>
      <c r="D26" s="167"/>
      <c r="E26" s="167"/>
      <c r="F26" s="167"/>
      <c r="G26" s="19" t="s">
        <v>6</v>
      </c>
      <c r="H26" s="19" t="s">
        <v>6</v>
      </c>
      <c r="I26" s="27" t="s">
        <v>6</v>
      </c>
      <c r="J26" s="44">
        <f>SUM(J27:J37)</f>
        <v>0</v>
      </c>
      <c r="K26" s="44">
        <f>SUM(K27:K37)</f>
        <v>0</v>
      </c>
      <c r="L26" s="44">
        <f>SUM(L27:L37)</f>
        <v>0</v>
      </c>
      <c r="M26" s="103"/>
      <c r="N26" s="5"/>
      <c r="AI26" s="37"/>
      <c r="AS26" s="44">
        <f>SUM(AJ27:AJ37)</f>
        <v>0</v>
      </c>
      <c r="AT26" s="44">
        <f>SUM(AK27:AK37)</f>
        <v>0</v>
      </c>
      <c r="AU26" s="44">
        <f>SUM(AL27:AL37)</f>
        <v>0</v>
      </c>
    </row>
    <row r="27" spans="1:64" x14ac:dyDescent="0.2">
      <c r="A27" s="4" t="s">
        <v>13</v>
      </c>
      <c r="B27" s="13" t="s">
        <v>162</v>
      </c>
      <c r="C27" s="164" t="s">
        <v>331</v>
      </c>
      <c r="D27" s="165"/>
      <c r="E27" s="165"/>
      <c r="F27" s="165"/>
      <c r="G27" s="13" t="s">
        <v>541</v>
      </c>
      <c r="H27" s="21">
        <v>13.45</v>
      </c>
      <c r="I27" s="26">
        <v>0</v>
      </c>
      <c r="J27" s="21">
        <f>H27*AO27</f>
        <v>0</v>
      </c>
      <c r="K27" s="21">
        <f>H27*AP27</f>
        <v>0</v>
      </c>
      <c r="L27" s="21">
        <f>H27*I27</f>
        <v>0</v>
      </c>
      <c r="M27" s="102" t="s">
        <v>763</v>
      </c>
      <c r="N27" s="5"/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37"/>
      <c r="AJ27" s="21">
        <f>IF(AN27=0,L27,0)</f>
        <v>0</v>
      </c>
      <c r="AK27" s="21">
        <f>IF(AN27=12,L27,0)</f>
        <v>0</v>
      </c>
      <c r="AL27" s="21">
        <f>IF(AN27=21,L27,0)</f>
        <v>0</v>
      </c>
      <c r="AN27" s="38">
        <v>12</v>
      </c>
      <c r="AO27" s="38">
        <f>I27*0.629160837727651</f>
        <v>0</v>
      </c>
      <c r="AP27" s="38">
        <f>I27*(1-0.629160837727651)</f>
        <v>0</v>
      </c>
      <c r="AQ27" s="39" t="s">
        <v>7</v>
      </c>
      <c r="AV27" s="38">
        <f>AW27+AX27</f>
        <v>0</v>
      </c>
      <c r="AW27" s="38">
        <f>H27*AO27</f>
        <v>0</v>
      </c>
      <c r="AX27" s="38">
        <f>H27*AP27</f>
        <v>0</v>
      </c>
      <c r="AY27" s="41" t="s">
        <v>577</v>
      </c>
      <c r="AZ27" s="41" t="s">
        <v>606</v>
      </c>
      <c r="BA27" s="37" t="s">
        <v>616</v>
      </c>
      <c r="BC27" s="38">
        <f>AW27+AX27</f>
        <v>0</v>
      </c>
      <c r="BD27" s="38">
        <f>I27/(100-BE27)*100</f>
        <v>0</v>
      </c>
      <c r="BE27" s="38">
        <v>0</v>
      </c>
      <c r="BF27" s="38">
        <f>27</f>
        <v>27</v>
      </c>
      <c r="BH27" s="21">
        <f>H27*AO27</f>
        <v>0</v>
      </c>
      <c r="BI27" s="21">
        <f>H27*AP27</f>
        <v>0</v>
      </c>
      <c r="BJ27" s="21">
        <f>H27*I27</f>
        <v>0</v>
      </c>
      <c r="BK27" s="21" t="s">
        <v>621</v>
      </c>
      <c r="BL27" s="38">
        <v>34</v>
      </c>
    </row>
    <row r="28" spans="1:64" x14ac:dyDescent="0.2">
      <c r="A28" s="5"/>
      <c r="B28" s="14" t="s">
        <v>155</v>
      </c>
      <c r="C28" s="168" t="s">
        <v>332</v>
      </c>
      <c r="D28" s="169"/>
      <c r="E28" s="169"/>
      <c r="F28" s="169"/>
      <c r="G28" s="169"/>
      <c r="H28" s="169"/>
      <c r="I28" s="170"/>
      <c r="J28" s="169"/>
      <c r="K28" s="169"/>
      <c r="L28" s="169"/>
      <c r="M28" s="171"/>
      <c r="N28" s="5"/>
    </row>
    <row r="29" spans="1:64" x14ac:dyDescent="0.2">
      <c r="A29" s="4" t="s">
        <v>14</v>
      </c>
      <c r="B29" s="13" t="s">
        <v>163</v>
      </c>
      <c r="C29" s="164" t="s">
        <v>333</v>
      </c>
      <c r="D29" s="165"/>
      <c r="E29" s="165"/>
      <c r="F29" s="165"/>
      <c r="G29" s="13" t="s">
        <v>541</v>
      </c>
      <c r="H29" s="21">
        <v>7.8</v>
      </c>
      <c r="I29" s="26">
        <v>0</v>
      </c>
      <c r="J29" s="21">
        <f>H29*AO29</f>
        <v>0</v>
      </c>
      <c r="K29" s="21">
        <f>H29*AP29</f>
        <v>0</v>
      </c>
      <c r="L29" s="21">
        <f>H29*I29</f>
        <v>0</v>
      </c>
      <c r="M29" s="102" t="s">
        <v>764</v>
      </c>
      <c r="N29" s="5"/>
      <c r="Z29" s="38">
        <f>IF(AQ29="5",BJ29,0)</f>
        <v>0</v>
      </c>
      <c r="AB29" s="38">
        <f>IF(AQ29="1",BH29,0)</f>
        <v>0</v>
      </c>
      <c r="AC29" s="38">
        <f>IF(AQ29="1",BI29,0)</f>
        <v>0</v>
      </c>
      <c r="AD29" s="38">
        <f>IF(AQ29="7",BH29,0)</f>
        <v>0</v>
      </c>
      <c r="AE29" s="38">
        <f>IF(AQ29="7",BI29,0)</f>
        <v>0</v>
      </c>
      <c r="AF29" s="38">
        <f>IF(AQ29="2",BH29,0)</f>
        <v>0</v>
      </c>
      <c r="AG29" s="38">
        <f>IF(AQ29="2",BI29,0)</f>
        <v>0</v>
      </c>
      <c r="AH29" s="38">
        <f>IF(AQ29="0",BJ29,0)</f>
        <v>0</v>
      </c>
      <c r="AI29" s="37"/>
      <c r="AJ29" s="21">
        <f>IF(AN29=0,L29,0)</f>
        <v>0</v>
      </c>
      <c r="AK29" s="21">
        <f>IF(AN29=12,L29,0)</f>
        <v>0</v>
      </c>
      <c r="AL29" s="21">
        <f>IF(AN29=21,L29,0)</f>
        <v>0</v>
      </c>
      <c r="AN29" s="38">
        <v>12</v>
      </c>
      <c r="AO29" s="38">
        <f>I29*0.391107871720117</f>
        <v>0</v>
      </c>
      <c r="AP29" s="38">
        <f>I29*(1-0.391107871720117)</f>
        <v>0</v>
      </c>
      <c r="AQ29" s="39" t="s">
        <v>7</v>
      </c>
      <c r="AV29" s="38">
        <f>AW29+AX29</f>
        <v>0</v>
      </c>
      <c r="AW29" s="38">
        <f>H29*AO29</f>
        <v>0</v>
      </c>
      <c r="AX29" s="38">
        <f>H29*AP29</f>
        <v>0</v>
      </c>
      <c r="AY29" s="41" t="s">
        <v>577</v>
      </c>
      <c r="AZ29" s="41" t="s">
        <v>606</v>
      </c>
      <c r="BA29" s="37" t="s">
        <v>616</v>
      </c>
      <c r="BC29" s="38">
        <f>AW29+AX29</f>
        <v>0</v>
      </c>
      <c r="BD29" s="38">
        <f>I29/(100-BE29)*100</f>
        <v>0</v>
      </c>
      <c r="BE29" s="38">
        <v>0</v>
      </c>
      <c r="BF29" s="38">
        <f>29</f>
        <v>29</v>
      </c>
      <c r="BH29" s="21">
        <f>H29*AO29</f>
        <v>0</v>
      </c>
      <c r="BI29" s="21">
        <f>H29*AP29</f>
        <v>0</v>
      </c>
      <c r="BJ29" s="21">
        <f>H29*I29</f>
        <v>0</v>
      </c>
      <c r="BK29" s="21" t="s">
        <v>621</v>
      </c>
      <c r="BL29" s="38">
        <v>34</v>
      </c>
    </row>
    <row r="30" spans="1:64" x14ac:dyDescent="0.2">
      <c r="A30" s="5"/>
      <c r="B30" s="14" t="s">
        <v>155</v>
      </c>
      <c r="C30" s="168" t="s">
        <v>334</v>
      </c>
      <c r="D30" s="169"/>
      <c r="E30" s="169"/>
      <c r="F30" s="169"/>
      <c r="G30" s="169"/>
      <c r="H30" s="169"/>
      <c r="I30" s="170"/>
      <c r="J30" s="169"/>
      <c r="K30" s="169"/>
      <c r="L30" s="169"/>
      <c r="M30" s="171"/>
      <c r="N30" s="5"/>
    </row>
    <row r="31" spans="1:64" x14ac:dyDescent="0.2">
      <c r="A31" s="85" t="s">
        <v>15</v>
      </c>
      <c r="B31" s="86" t="s">
        <v>164</v>
      </c>
      <c r="C31" s="163" t="s">
        <v>333</v>
      </c>
      <c r="D31" s="165"/>
      <c r="E31" s="165"/>
      <c r="F31" s="165"/>
      <c r="G31" s="86" t="s">
        <v>541</v>
      </c>
      <c r="H31" s="87">
        <v>2.6</v>
      </c>
      <c r="I31" s="96">
        <v>0</v>
      </c>
      <c r="J31" s="87">
        <f>H31*AO31</f>
        <v>0</v>
      </c>
      <c r="K31" s="87">
        <f>H31*AP31</f>
        <v>0</v>
      </c>
      <c r="L31" s="87">
        <f>H31*I31</f>
        <v>0</v>
      </c>
      <c r="M31" s="102" t="s">
        <v>764</v>
      </c>
      <c r="N31" s="5"/>
      <c r="Z31" s="38">
        <f>IF(AQ31="5",BJ31,0)</f>
        <v>0</v>
      </c>
      <c r="AB31" s="38">
        <f>IF(AQ31="1",BH31,0)</f>
        <v>0</v>
      </c>
      <c r="AC31" s="38">
        <f>IF(AQ31="1",BI31,0)</f>
        <v>0</v>
      </c>
      <c r="AD31" s="38">
        <f>IF(AQ31="7",BH31,0)</f>
        <v>0</v>
      </c>
      <c r="AE31" s="38">
        <f>IF(AQ31="7",BI31,0)</f>
        <v>0</v>
      </c>
      <c r="AF31" s="38">
        <f>IF(AQ31="2",BH31,0)</f>
        <v>0</v>
      </c>
      <c r="AG31" s="38">
        <f>IF(AQ31="2",BI31,0)</f>
        <v>0</v>
      </c>
      <c r="AH31" s="38">
        <f>IF(AQ31="0",BJ31,0)</f>
        <v>0</v>
      </c>
      <c r="AI31" s="37"/>
      <c r="AJ31" s="21">
        <f>IF(AN31=0,L31,0)</f>
        <v>0</v>
      </c>
      <c r="AK31" s="21">
        <f>IF(AN31=12,L31,0)</f>
        <v>0</v>
      </c>
      <c r="AL31" s="21">
        <f>IF(AN31=21,L31,0)</f>
        <v>0</v>
      </c>
      <c r="AN31" s="38">
        <v>12</v>
      </c>
      <c r="AO31" s="38">
        <f>I31*0.391107871720117</f>
        <v>0</v>
      </c>
      <c r="AP31" s="38">
        <f>I31*(1-0.391107871720117)</f>
        <v>0</v>
      </c>
      <c r="AQ31" s="39" t="s">
        <v>7</v>
      </c>
      <c r="AV31" s="38">
        <f>AW31+AX31</f>
        <v>0</v>
      </c>
      <c r="AW31" s="38">
        <f>H31*AO31</f>
        <v>0</v>
      </c>
      <c r="AX31" s="38">
        <f>H31*AP31</f>
        <v>0</v>
      </c>
      <c r="AY31" s="41" t="s">
        <v>577</v>
      </c>
      <c r="AZ31" s="41" t="s">
        <v>606</v>
      </c>
      <c r="BA31" s="37" t="s">
        <v>616</v>
      </c>
      <c r="BC31" s="38">
        <f>AW31+AX31</f>
        <v>0</v>
      </c>
      <c r="BD31" s="38">
        <f>I31/(100-BE31)*100</f>
        <v>0</v>
      </c>
      <c r="BE31" s="38">
        <v>0</v>
      </c>
      <c r="BF31" s="38">
        <f>31</f>
        <v>31</v>
      </c>
      <c r="BH31" s="21">
        <f>H31*AO31</f>
        <v>0</v>
      </c>
      <c r="BI31" s="21">
        <f>H31*AP31</f>
        <v>0</v>
      </c>
      <c r="BJ31" s="21">
        <f>H31*I31</f>
        <v>0</v>
      </c>
      <c r="BK31" s="21" t="s">
        <v>621</v>
      </c>
      <c r="BL31" s="38">
        <v>34</v>
      </c>
    </row>
    <row r="32" spans="1:64" x14ac:dyDescent="0.2">
      <c r="A32" s="5"/>
      <c r="B32" s="14" t="s">
        <v>155</v>
      </c>
      <c r="C32" s="168" t="s">
        <v>335</v>
      </c>
      <c r="D32" s="169"/>
      <c r="E32" s="169"/>
      <c r="F32" s="169"/>
      <c r="G32" s="169"/>
      <c r="H32" s="169"/>
      <c r="I32" s="170"/>
      <c r="J32" s="169"/>
      <c r="K32" s="169"/>
      <c r="L32" s="169"/>
      <c r="M32" s="171"/>
      <c r="N32" s="5"/>
    </row>
    <row r="33" spans="1:64" x14ac:dyDescent="0.2">
      <c r="A33" s="4" t="s">
        <v>16</v>
      </c>
      <c r="B33" s="13" t="s">
        <v>165</v>
      </c>
      <c r="C33" s="164" t="s">
        <v>336</v>
      </c>
      <c r="D33" s="165"/>
      <c r="E33" s="165"/>
      <c r="F33" s="165"/>
      <c r="G33" s="13" t="s">
        <v>541</v>
      </c>
      <c r="H33" s="21">
        <v>4.25</v>
      </c>
      <c r="I33" s="26">
        <v>0</v>
      </c>
      <c r="J33" s="21">
        <f>H33*AO33</f>
        <v>0</v>
      </c>
      <c r="K33" s="21">
        <f>H33*AP33</f>
        <v>0</v>
      </c>
      <c r="L33" s="21">
        <f>H33*I33</f>
        <v>0</v>
      </c>
      <c r="M33" s="102" t="s">
        <v>764</v>
      </c>
      <c r="N33" s="5"/>
      <c r="Z33" s="38">
        <f>IF(AQ33="5",BJ33,0)</f>
        <v>0</v>
      </c>
      <c r="AB33" s="38">
        <f>IF(AQ33="1",BH33,0)</f>
        <v>0</v>
      </c>
      <c r="AC33" s="38">
        <f>IF(AQ33="1",BI33,0)</f>
        <v>0</v>
      </c>
      <c r="AD33" s="38">
        <f>IF(AQ33="7",BH33,0)</f>
        <v>0</v>
      </c>
      <c r="AE33" s="38">
        <f>IF(AQ33="7",BI33,0)</f>
        <v>0</v>
      </c>
      <c r="AF33" s="38">
        <f>IF(AQ33="2",BH33,0)</f>
        <v>0</v>
      </c>
      <c r="AG33" s="38">
        <f>IF(AQ33="2",BI33,0)</f>
        <v>0</v>
      </c>
      <c r="AH33" s="38">
        <f>IF(AQ33="0",BJ33,0)</f>
        <v>0</v>
      </c>
      <c r="AI33" s="37"/>
      <c r="AJ33" s="21">
        <f>IF(AN33=0,L33,0)</f>
        <v>0</v>
      </c>
      <c r="AK33" s="21">
        <f>IF(AN33=12,L33,0)</f>
        <v>0</v>
      </c>
      <c r="AL33" s="21">
        <f>IF(AN33=21,L33,0)</f>
        <v>0</v>
      </c>
      <c r="AN33" s="38">
        <v>12</v>
      </c>
      <c r="AO33" s="38">
        <f>I33*0.540880195599022</f>
        <v>0</v>
      </c>
      <c r="AP33" s="38">
        <f>I33*(1-0.540880195599022)</f>
        <v>0</v>
      </c>
      <c r="AQ33" s="39" t="s">
        <v>7</v>
      </c>
      <c r="AV33" s="38">
        <f>AW33+AX33</f>
        <v>0</v>
      </c>
      <c r="AW33" s="38">
        <f>H33*AO33</f>
        <v>0</v>
      </c>
      <c r="AX33" s="38">
        <f>H33*AP33</f>
        <v>0</v>
      </c>
      <c r="AY33" s="41" t="s">
        <v>577</v>
      </c>
      <c r="AZ33" s="41" t="s">
        <v>606</v>
      </c>
      <c r="BA33" s="37" t="s">
        <v>616</v>
      </c>
      <c r="BC33" s="38">
        <f>AW33+AX33</f>
        <v>0</v>
      </c>
      <c r="BD33" s="38">
        <f>I33/(100-BE33)*100</f>
        <v>0</v>
      </c>
      <c r="BE33" s="38">
        <v>0</v>
      </c>
      <c r="BF33" s="38">
        <f>33</f>
        <v>33</v>
      </c>
      <c r="BH33" s="21">
        <f>H33*AO33</f>
        <v>0</v>
      </c>
      <c r="BI33" s="21">
        <f>H33*AP33</f>
        <v>0</v>
      </c>
      <c r="BJ33" s="21">
        <f>H33*I33</f>
        <v>0</v>
      </c>
      <c r="BK33" s="21" t="s">
        <v>621</v>
      </c>
      <c r="BL33" s="38">
        <v>34</v>
      </c>
    </row>
    <row r="34" spans="1:64" x14ac:dyDescent="0.2">
      <c r="A34" s="5"/>
      <c r="B34" s="14" t="s">
        <v>155</v>
      </c>
      <c r="C34" s="168" t="s">
        <v>337</v>
      </c>
      <c r="D34" s="169"/>
      <c r="E34" s="169"/>
      <c r="F34" s="169"/>
      <c r="G34" s="169"/>
      <c r="H34" s="169"/>
      <c r="I34" s="170"/>
      <c r="J34" s="169"/>
      <c r="K34" s="169"/>
      <c r="L34" s="169"/>
      <c r="M34" s="171"/>
      <c r="N34" s="5"/>
    </row>
    <row r="35" spans="1:64" x14ac:dyDescent="0.2">
      <c r="A35" s="4" t="s">
        <v>17</v>
      </c>
      <c r="B35" s="13" t="s">
        <v>166</v>
      </c>
      <c r="C35" s="164" t="s">
        <v>338</v>
      </c>
      <c r="D35" s="165"/>
      <c r="E35" s="165"/>
      <c r="F35" s="165"/>
      <c r="G35" s="13" t="s">
        <v>541</v>
      </c>
      <c r="H35" s="21">
        <v>0.94</v>
      </c>
      <c r="I35" s="26">
        <v>0</v>
      </c>
      <c r="J35" s="21">
        <f>H35*AO35</f>
        <v>0</v>
      </c>
      <c r="K35" s="21">
        <f>H35*AP35</f>
        <v>0</v>
      </c>
      <c r="L35" s="21">
        <f>H35*I35</f>
        <v>0</v>
      </c>
      <c r="M35" s="102" t="s">
        <v>763</v>
      </c>
      <c r="N35" s="5"/>
      <c r="Z35" s="38">
        <f>IF(AQ35="5",BJ35,0)</f>
        <v>0</v>
      </c>
      <c r="AB35" s="38">
        <f>IF(AQ35="1",BH35,0)</f>
        <v>0</v>
      </c>
      <c r="AC35" s="38">
        <f>IF(AQ35="1",BI35,0)</f>
        <v>0</v>
      </c>
      <c r="AD35" s="38">
        <f>IF(AQ35="7",BH35,0)</f>
        <v>0</v>
      </c>
      <c r="AE35" s="38">
        <f>IF(AQ35="7",BI35,0)</f>
        <v>0</v>
      </c>
      <c r="AF35" s="38">
        <f>IF(AQ35="2",BH35,0)</f>
        <v>0</v>
      </c>
      <c r="AG35" s="38">
        <f>IF(AQ35="2",BI35,0)</f>
        <v>0</v>
      </c>
      <c r="AH35" s="38">
        <f>IF(AQ35="0",BJ35,0)</f>
        <v>0</v>
      </c>
      <c r="AI35" s="37"/>
      <c r="AJ35" s="21">
        <f>IF(AN35=0,L35,0)</f>
        <v>0</v>
      </c>
      <c r="AK35" s="21">
        <f>IF(AN35=12,L35,0)</f>
        <v>0</v>
      </c>
      <c r="AL35" s="21">
        <f>IF(AN35=21,L35,0)</f>
        <v>0</v>
      </c>
      <c r="AN35" s="38">
        <v>12</v>
      </c>
      <c r="AO35" s="38">
        <f>I35*0.572114093959732</f>
        <v>0</v>
      </c>
      <c r="AP35" s="38">
        <f>I35*(1-0.572114093959732)</f>
        <v>0</v>
      </c>
      <c r="AQ35" s="39" t="s">
        <v>7</v>
      </c>
      <c r="AV35" s="38">
        <f>AW35+AX35</f>
        <v>0</v>
      </c>
      <c r="AW35" s="38">
        <f>H35*AO35</f>
        <v>0</v>
      </c>
      <c r="AX35" s="38">
        <f>H35*AP35</f>
        <v>0</v>
      </c>
      <c r="AY35" s="41" t="s">
        <v>577</v>
      </c>
      <c r="AZ35" s="41" t="s">
        <v>606</v>
      </c>
      <c r="BA35" s="37" t="s">
        <v>616</v>
      </c>
      <c r="BC35" s="38">
        <f>AW35+AX35</f>
        <v>0</v>
      </c>
      <c r="BD35" s="38">
        <f>I35/(100-BE35)*100</f>
        <v>0</v>
      </c>
      <c r="BE35" s="38">
        <v>0</v>
      </c>
      <c r="BF35" s="38">
        <f>35</f>
        <v>35</v>
      </c>
      <c r="BH35" s="21">
        <f>H35*AO35</f>
        <v>0</v>
      </c>
      <c r="BI35" s="21">
        <f>H35*AP35</f>
        <v>0</v>
      </c>
      <c r="BJ35" s="21">
        <f>H35*I35</f>
        <v>0</v>
      </c>
      <c r="BK35" s="21" t="s">
        <v>621</v>
      </c>
      <c r="BL35" s="38">
        <v>34</v>
      </c>
    </row>
    <row r="36" spans="1:64" x14ac:dyDescent="0.2">
      <c r="A36" s="5"/>
      <c r="B36" s="14" t="s">
        <v>155</v>
      </c>
      <c r="C36" s="168" t="s">
        <v>339</v>
      </c>
      <c r="D36" s="169"/>
      <c r="E36" s="169"/>
      <c r="F36" s="169"/>
      <c r="G36" s="169"/>
      <c r="H36" s="169"/>
      <c r="I36" s="170"/>
      <c r="J36" s="169"/>
      <c r="K36" s="169"/>
      <c r="L36" s="169"/>
      <c r="M36" s="171"/>
      <c r="N36" s="5"/>
    </row>
    <row r="37" spans="1:64" x14ac:dyDescent="0.2">
      <c r="A37" s="4" t="s">
        <v>18</v>
      </c>
      <c r="B37" s="13" t="s">
        <v>167</v>
      </c>
      <c r="C37" s="164" t="s">
        <v>340</v>
      </c>
      <c r="D37" s="165"/>
      <c r="E37" s="165"/>
      <c r="F37" s="165"/>
      <c r="G37" s="13" t="s">
        <v>541</v>
      </c>
      <c r="H37" s="21">
        <v>3.5</v>
      </c>
      <c r="I37" s="26">
        <v>0</v>
      </c>
      <c r="J37" s="21">
        <f>H37*AO37</f>
        <v>0</v>
      </c>
      <c r="K37" s="21">
        <f>H37*AP37</f>
        <v>0</v>
      </c>
      <c r="L37" s="21">
        <f>H37*I37</f>
        <v>0</v>
      </c>
      <c r="M37" s="102" t="s">
        <v>764</v>
      </c>
      <c r="N37" s="5"/>
      <c r="Z37" s="38">
        <f>IF(AQ37="5",BJ37,0)</f>
        <v>0</v>
      </c>
      <c r="AB37" s="38">
        <f>IF(AQ37="1",BH37,0)</f>
        <v>0</v>
      </c>
      <c r="AC37" s="38">
        <f>IF(AQ37="1",BI37,0)</f>
        <v>0</v>
      </c>
      <c r="AD37" s="38">
        <f>IF(AQ37="7",BH37,0)</f>
        <v>0</v>
      </c>
      <c r="AE37" s="38">
        <f>IF(AQ37="7",BI37,0)</f>
        <v>0</v>
      </c>
      <c r="AF37" s="38">
        <f>IF(AQ37="2",BH37,0)</f>
        <v>0</v>
      </c>
      <c r="AG37" s="38">
        <f>IF(AQ37="2",BI37,0)</f>
        <v>0</v>
      </c>
      <c r="AH37" s="38">
        <f>IF(AQ37="0",BJ37,0)</f>
        <v>0</v>
      </c>
      <c r="AI37" s="37"/>
      <c r="AJ37" s="21">
        <f>IF(AN37=0,L37,0)</f>
        <v>0</v>
      </c>
      <c r="AK37" s="21">
        <f>IF(AN37=12,L37,0)</f>
        <v>0</v>
      </c>
      <c r="AL37" s="21">
        <f>IF(AN37=21,L37,0)</f>
        <v>0</v>
      </c>
      <c r="AN37" s="38">
        <v>12</v>
      </c>
      <c r="AO37" s="38">
        <f>I37*0.403715083798883</f>
        <v>0</v>
      </c>
      <c r="AP37" s="38">
        <f>I37*(1-0.403715083798883)</f>
        <v>0</v>
      </c>
      <c r="AQ37" s="39" t="s">
        <v>7</v>
      </c>
      <c r="AV37" s="38">
        <f>AW37+AX37</f>
        <v>0</v>
      </c>
      <c r="AW37" s="38">
        <f>H37*AO37</f>
        <v>0</v>
      </c>
      <c r="AX37" s="38">
        <f>H37*AP37</f>
        <v>0</v>
      </c>
      <c r="AY37" s="41" t="s">
        <v>577</v>
      </c>
      <c r="AZ37" s="41" t="s">
        <v>606</v>
      </c>
      <c r="BA37" s="37" t="s">
        <v>616</v>
      </c>
      <c r="BC37" s="38">
        <f>AW37+AX37</f>
        <v>0</v>
      </c>
      <c r="BD37" s="38">
        <f>I37/(100-BE37)*100</f>
        <v>0</v>
      </c>
      <c r="BE37" s="38">
        <v>0</v>
      </c>
      <c r="BF37" s="38">
        <f>37</f>
        <v>37</v>
      </c>
      <c r="BH37" s="21">
        <f>H37*AO37</f>
        <v>0</v>
      </c>
      <c r="BI37" s="21">
        <f>H37*AP37</f>
        <v>0</v>
      </c>
      <c r="BJ37" s="21">
        <f>H37*I37</f>
        <v>0</v>
      </c>
      <c r="BK37" s="21" t="s">
        <v>621</v>
      </c>
      <c r="BL37" s="38">
        <v>34</v>
      </c>
    </row>
    <row r="38" spans="1:64" x14ac:dyDescent="0.2">
      <c r="A38" s="6"/>
      <c r="B38" s="15" t="s">
        <v>47</v>
      </c>
      <c r="C38" s="166" t="s">
        <v>341</v>
      </c>
      <c r="D38" s="167"/>
      <c r="E38" s="167"/>
      <c r="F38" s="167"/>
      <c r="G38" s="19" t="s">
        <v>6</v>
      </c>
      <c r="H38" s="19" t="s">
        <v>6</v>
      </c>
      <c r="I38" s="27" t="s">
        <v>6</v>
      </c>
      <c r="J38" s="44">
        <f>SUM(J39:J42)</f>
        <v>0</v>
      </c>
      <c r="K38" s="44">
        <f>SUM(K39:K42)</f>
        <v>0</v>
      </c>
      <c r="L38" s="44">
        <f>SUM(L39:L42)</f>
        <v>0</v>
      </c>
      <c r="M38" s="103"/>
      <c r="N38" s="5"/>
      <c r="AI38" s="37"/>
      <c r="AS38" s="44">
        <f>SUM(AJ39:AJ42)</f>
        <v>0</v>
      </c>
      <c r="AT38" s="44">
        <f>SUM(AK39:AK42)</f>
        <v>0</v>
      </c>
      <c r="AU38" s="44">
        <f>SUM(AL39:AL42)</f>
        <v>0</v>
      </c>
    </row>
    <row r="39" spans="1:64" x14ac:dyDescent="0.2">
      <c r="A39" s="4" t="s">
        <v>19</v>
      </c>
      <c r="B39" s="13" t="s">
        <v>168</v>
      </c>
      <c r="C39" s="164" t="s">
        <v>342</v>
      </c>
      <c r="D39" s="165"/>
      <c r="E39" s="165"/>
      <c r="F39" s="165"/>
      <c r="G39" s="13" t="s">
        <v>541</v>
      </c>
      <c r="H39" s="21">
        <v>21</v>
      </c>
      <c r="I39" s="26">
        <v>0</v>
      </c>
      <c r="J39" s="21">
        <f>H39*AO39</f>
        <v>0</v>
      </c>
      <c r="K39" s="21">
        <f>H39*AP39</f>
        <v>0</v>
      </c>
      <c r="L39" s="21">
        <f>H39*I39</f>
        <v>0</v>
      </c>
      <c r="M39" s="102" t="s">
        <v>763</v>
      </c>
      <c r="N39" s="5"/>
      <c r="Z39" s="38">
        <f>IF(AQ39="5",BJ39,0)</f>
        <v>0</v>
      </c>
      <c r="AB39" s="38">
        <f>IF(AQ39="1",BH39,0)</f>
        <v>0</v>
      </c>
      <c r="AC39" s="38">
        <f>IF(AQ39="1",BI39,0)</f>
        <v>0</v>
      </c>
      <c r="AD39" s="38">
        <f>IF(AQ39="7",BH39,0)</f>
        <v>0</v>
      </c>
      <c r="AE39" s="38">
        <f>IF(AQ39="7",BI39,0)</f>
        <v>0</v>
      </c>
      <c r="AF39" s="38">
        <f>IF(AQ39="2",BH39,0)</f>
        <v>0</v>
      </c>
      <c r="AG39" s="38">
        <f>IF(AQ39="2",BI39,0)</f>
        <v>0</v>
      </c>
      <c r="AH39" s="38">
        <f>IF(AQ39="0",BJ39,0)</f>
        <v>0</v>
      </c>
      <c r="AI39" s="37"/>
      <c r="AJ39" s="21">
        <f>IF(AN39=0,L39,0)</f>
        <v>0</v>
      </c>
      <c r="AK39" s="21">
        <f>IF(AN39=12,L39,0)</f>
        <v>0</v>
      </c>
      <c r="AL39" s="21">
        <f>IF(AN39=21,L39,0)</f>
        <v>0</v>
      </c>
      <c r="AN39" s="38">
        <v>12</v>
      </c>
      <c r="AO39" s="38">
        <f>I39*0.386816488103636</f>
        <v>0</v>
      </c>
      <c r="AP39" s="38">
        <f>I39*(1-0.386816488103636)</f>
        <v>0</v>
      </c>
      <c r="AQ39" s="39" t="s">
        <v>7</v>
      </c>
      <c r="AV39" s="38">
        <f>AW39+AX39</f>
        <v>0</v>
      </c>
      <c r="AW39" s="38">
        <f>H39*AO39</f>
        <v>0</v>
      </c>
      <c r="AX39" s="38">
        <f>H39*AP39</f>
        <v>0</v>
      </c>
      <c r="AY39" s="41" t="s">
        <v>578</v>
      </c>
      <c r="AZ39" s="41" t="s">
        <v>608</v>
      </c>
      <c r="BA39" s="37" t="s">
        <v>616</v>
      </c>
      <c r="BC39" s="38">
        <f>AW39+AX39</f>
        <v>0</v>
      </c>
      <c r="BD39" s="38">
        <f>I39/(100-BE39)*100</f>
        <v>0</v>
      </c>
      <c r="BE39" s="38">
        <v>0</v>
      </c>
      <c r="BF39" s="38">
        <f>39</f>
        <v>39</v>
      </c>
      <c r="BH39" s="21">
        <f>H39*AO39</f>
        <v>0</v>
      </c>
      <c r="BI39" s="21">
        <f>H39*AP39</f>
        <v>0</v>
      </c>
      <c r="BJ39" s="21">
        <f>H39*I39</f>
        <v>0</v>
      </c>
      <c r="BK39" s="21" t="s">
        <v>621</v>
      </c>
      <c r="BL39" s="38">
        <v>41</v>
      </c>
    </row>
    <row r="40" spans="1:64" x14ac:dyDescent="0.2">
      <c r="A40" s="4" t="s">
        <v>20</v>
      </c>
      <c r="B40" s="13" t="s">
        <v>169</v>
      </c>
      <c r="C40" s="164" t="s">
        <v>343</v>
      </c>
      <c r="D40" s="165"/>
      <c r="E40" s="165"/>
      <c r="F40" s="165"/>
      <c r="G40" s="13" t="s">
        <v>537</v>
      </c>
      <c r="H40" s="21">
        <v>22.1</v>
      </c>
      <c r="I40" s="26">
        <v>0</v>
      </c>
      <c r="J40" s="21">
        <f>H40*AO40</f>
        <v>0</v>
      </c>
      <c r="K40" s="21">
        <f>H40*AP40</f>
        <v>0</v>
      </c>
      <c r="L40" s="21">
        <f>H40*I40</f>
        <v>0</v>
      </c>
      <c r="M40" s="102" t="s">
        <v>763</v>
      </c>
      <c r="N40" s="5"/>
      <c r="Z40" s="38">
        <f>IF(AQ40="5",BJ40,0)</f>
        <v>0</v>
      </c>
      <c r="AB40" s="38">
        <f>IF(AQ40="1",BH40,0)</f>
        <v>0</v>
      </c>
      <c r="AC40" s="38">
        <f>IF(AQ40="1",BI40,0)</f>
        <v>0</v>
      </c>
      <c r="AD40" s="38">
        <f>IF(AQ40="7",BH40,0)</f>
        <v>0</v>
      </c>
      <c r="AE40" s="38">
        <f>IF(AQ40="7",BI40,0)</f>
        <v>0</v>
      </c>
      <c r="AF40" s="38">
        <f>IF(AQ40="2",BH40,0)</f>
        <v>0</v>
      </c>
      <c r="AG40" s="38">
        <f>IF(AQ40="2",BI40,0)</f>
        <v>0</v>
      </c>
      <c r="AH40" s="38">
        <f>IF(AQ40="0",BJ40,0)</f>
        <v>0</v>
      </c>
      <c r="AI40" s="37"/>
      <c r="AJ40" s="21">
        <f>IF(AN40=0,L40,0)</f>
        <v>0</v>
      </c>
      <c r="AK40" s="21">
        <f>IF(AN40=12,L40,0)</f>
        <v>0</v>
      </c>
      <c r="AL40" s="21">
        <f>IF(AN40=21,L40,0)</f>
        <v>0</v>
      </c>
      <c r="AN40" s="38">
        <v>12</v>
      </c>
      <c r="AO40" s="38">
        <f>I40*0.764091567536672</f>
        <v>0</v>
      </c>
      <c r="AP40" s="38">
        <f>I40*(1-0.764091567536672)</f>
        <v>0</v>
      </c>
      <c r="AQ40" s="39" t="s">
        <v>7</v>
      </c>
      <c r="AV40" s="38">
        <f>AW40+AX40</f>
        <v>0</v>
      </c>
      <c r="AW40" s="38">
        <f>H40*AO40</f>
        <v>0</v>
      </c>
      <c r="AX40" s="38">
        <f>H40*AP40</f>
        <v>0</v>
      </c>
      <c r="AY40" s="41" t="s">
        <v>578</v>
      </c>
      <c r="AZ40" s="41" t="s">
        <v>608</v>
      </c>
      <c r="BA40" s="37" t="s">
        <v>616</v>
      </c>
      <c r="BC40" s="38">
        <f>AW40+AX40</f>
        <v>0</v>
      </c>
      <c r="BD40" s="38">
        <f>I40/(100-BE40)*100</f>
        <v>0</v>
      </c>
      <c r="BE40" s="38">
        <v>0</v>
      </c>
      <c r="BF40" s="38">
        <f>40</f>
        <v>40</v>
      </c>
      <c r="BH40" s="21">
        <f>H40*AO40</f>
        <v>0</v>
      </c>
      <c r="BI40" s="21">
        <f>H40*AP40</f>
        <v>0</v>
      </c>
      <c r="BJ40" s="21">
        <f>H40*I40</f>
        <v>0</v>
      </c>
      <c r="BK40" s="21" t="s">
        <v>621</v>
      </c>
      <c r="BL40" s="38">
        <v>41</v>
      </c>
    </row>
    <row r="41" spans="1:64" x14ac:dyDescent="0.2">
      <c r="A41" s="5"/>
      <c r="B41" s="14" t="s">
        <v>155</v>
      </c>
      <c r="C41" s="168" t="s">
        <v>344</v>
      </c>
      <c r="D41" s="169"/>
      <c r="E41" s="169"/>
      <c r="F41" s="169"/>
      <c r="G41" s="169"/>
      <c r="H41" s="169"/>
      <c r="I41" s="170"/>
      <c r="J41" s="169"/>
      <c r="K41" s="169"/>
      <c r="L41" s="169"/>
      <c r="M41" s="171"/>
      <c r="N41" s="5"/>
    </row>
    <row r="42" spans="1:64" x14ac:dyDescent="0.2">
      <c r="A42" s="4" t="s">
        <v>21</v>
      </c>
      <c r="B42" s="13" t="s">
        <v>170</v>
      </c>
      <c r="C42" s="164" t="s">
        <v>345</v>
      </c>
      <c r="D42" s="165"/>
      <c r="E42" s="165"/>
      <c r="F42" s="165"/>
      <c r="G42" s="13" t="s">
        <v>541</v>
      </c>
      <c r="H42" s="21">
        <v>2.16</v>
      </c>
      <c r="I42" s="26">
        <v>0</v>
      </c>
      <c r="J42" s="21">
        <f>H42*AO42</f>
        <v>0</v>
      </c>
      <c r="K42" s="21">
        <f>H42*AP42</f>
        <v>0</v>
      </c>
      <c r="L42" s="21">
        <f>H42*I42</f>
        <v>0</v>
      </c>
      <c r="M42" s="102" t="s">
        <v>763</v>
      </c>
      <c r="N42" s="5"/>
      <c r="Z42" s="38">
        <f>IF(AQ42="5",BJ42,0)</f>
        <v>0</v>
      </c>
      <c r="AB42" s="38">
        <f>IF(AQ42="1",BH42,0)</f>
        <v>0</v>
      </c>
      <c r="AC42" s="38">
        <f>IF(AQ42="1",BI42,0)</f>
        <v>0</v>
      </c>
      <c r="AD42" s="38">
        <f>IF(AQ42="7",BH42,0)</f>
        <v>0</v>
      </c>
      <c r="AE42" s="38">
        <f>IF(AQ42="7",BI42,0)</f>
        <v>0</v>
      </c>
      <c r="AF42" s="38">
        <f>IF(AQ42="2",BH42,0)</f>
        <v>0</v>
      </c>
      <c r="AG42" s="38">
        <f>IF(AQ42="2",BI42,0)</f>
        <v>0</v>
      </c>
      <c r="AH42" s="38">
        <f>IF(AQ42="0",BJ42,0)</f>
        <v>0</v>
      </c>
      <c r="AI42" s="37"/>
      <c r="AJ42" s="21">
        <f>IF(AN42=0,L42,0)</f>
        <v>0</v>
      </c>
      <c r="AK42" s="21">
        <f>IF(AN42=12,L42,0)</f>
        <v>0</v>
      </c>
      <c r="AL42" s="21">
        <f>IF(AN42=21,L42,0)</f>
        <v>0</v>
      </c>
      <c r="AN42" s="38">
        <v>12</v>
      </c>
      <c r="AO42" s="38">
        <f>I42*0.106229850804033</f>
        <v>0</v>
      </c>
      <c r="AP42" s="38">
        <f>I42*(1-0.106229850804033)</f>
        <v>0</v>
      </c>
      <c r="AQ42" s="39" t="s">
        <v>7</v>
      </c>
      <c r="AV42" s="38">
        <f>AW42+AX42</f>
        <v>0</v>
      </c>
      <c r="AW42" s="38">
        <f>H42*AO42</f>
        <v>0</v>
      </c>
      <c r="AX42" s="38">
        <f>H42*AP42</f>
        <v>0</v>
      </c>
      <c r="AY42" s="41" t="s">
        <v>578</v>
      </c>
      <c r="AZ42" s="41" t="s">
        <v>608</v>
      </c>
      <c r="BA42" s="37" t="s">
        <v>616</v>
      </c>
      <c r="BC42" s="38">
        <f>AW42+AX42</f>
        <v>0</v>
      </c>
      <c r="BD42" s="38">
        <f>I42/(100-BE42)*100</f>
        <v>0</v>
      </c>
      <c r="BE42" s="38">
        <v>0</v>
      </c>
      <c r="BF42" s="38">
        <f>42</f>
        <v>42</v>
      </c>
      <c r="BH42" s="21">
        <f>H42*AO42</f>
        <v>0</v>
      </c>
      <c r="BI42" s="21">
        <f>H42*AP42</f>
        <v>0</v>
      </c>
      <c r="BJ42" s="21">
        <f>H42*I42</f>
        <v>0</v>
      </c>
      <c r="BK42" s="21" t="s">
        <v>621</v>
      </c>
      <c r="BL42" s="38">
        <v>41</v>
      </c>
    </row>
    <row r="43" spans="1:64" x14ac:dyDescent="0.2">
      <c r="A43" s="5"/>
      <c r="B43" s="14" t="s">
        <v>155</v>
      </c>
      <c r="C43" s="168" t="s">
        <v>346</v>
      </c>
      <c r="D43" s="169"/>
      <c r="E43" s="169"/>
      <c r="F43" s="169"/>
      <c r="G43" s="169"/>
      <c r="H43" s="169"/>
      <c r="I43" s="170"/>
      <c r="J43" s="169"/>
      <c r="K43" s="169"/>
      <c r="L43" s="169"/>
      <c r="M43" s="171"/>
      <c r="N43" s="5"/>
    </row>
    <row r="44" spans="1:64" x14ac:dyDescent="0.2">
      <c r="A44" s="6"/>
      <c r="B44" s="15" t="s">
        <v>50</v>
      </c>
      <c r="C44" s="166" t="s">
        <v>347</v>
      </c>
      <c r="D44" s="167"/>
      <c r="E44" s="167"/>
      <c r="F44" s="167"/>
      <c r="G44" s="19" t="s">
        <v>6</v>
      </c>
      <c r="H44" s="19" t="s">
        <v>6</v>
      </c>
      <c r="I44" s="27" t="s">
        <v>6</v>
      </c>
      <c r="J44" s="44">
        <f>SUM(J45:J46)</f>
        <v>0</v>
      </c>
      <c r="K44" s="44">
        <f>SUM(K45:K46)</f>
        <v>0</v>
      </c>
      <c r="L44" s="44">
        <f>SUM(L45:L46)</f>
        <v>0</v>
      </c>
      <c r="M44" s="103"/>
      <c r="N44" s="5"/>
      <c r="AI44" s="37"/>
      <c r="AS44" s="44">
        <f>SUM(AJ45:AJ46)</f>
        <v>0</v>
      </c>
      <c r="AT44" s="44">
        <f>SUM(AK45:AK46)</f>
        <v>0</v>
      </c>
      <c r="AU44" s="44">
        <f>SUM(AL45:AL46)</f>
        <v>0</v>
      </c>
    </row>
    <row r="45" spans="1:64" x14ac:dyDescent="0.2">
      <c r="A45" s="4" t="s">
        <v>22</v>
      </c>
      <c r="B45" s="13" t="s">
        <v>171</v>
      </c>
      <c r="C45" s="164" t="s">
        <v>348</v>
      </c>
      <c r="D45" s="165"/>
      <c r="E45" s="165"/>
      <c r="F45" s="165"/>
      <c r="G45" s="13" t="s">
        <v>541</v>
      </c>
      <c r="H45" s="21">
        <v>30</v>
      </c>
      <c r="I45" s="26">
        <v>0</v>
      </c>
      <c r="J45" s="21">
        <f>H45*AO45</f>
        <v>0</v>
      </c>
      <c r="K45" s="21">
        <f>H45*AP45</f>
        <v>0</v>
      </c>
      <c r="L45" s="21">
        <f>H45*I45</f>
        <v>0</v>
      </c>
      <c r="M45" s="102" t="s">
        <v>763</v>
      </c>
      <c r="N45" s="5"/>
      <c r="Z45" s="38">
        <f>IF(AQ45="5",BJ45,0)</f>
        <v>0</v>
      </c>
      <c r="AB45" s="38">
        <f>IF(AQ45="1",BH45,0)</f>
        <v>0</v>
      </c>
      <c r="AC45" s="38">
        <f>IF(AQ45="1",BI45,0)</f>
        <v>0</v>
      </c>
      <c r="AD45" s="38">
        <f>IF(AQ45="7",BH45,0)</f>
        <v>0</v>
      </c>
      <c r="AE45" s="38">
        <f>IF(AQ45="7",BI45,0)</f>
        <v>0</v>
      </c>
      <c r="AF45" s="38">
        <f>IF(AQ45="2",BH45,0)</f>
        <v>0</v>
      </c>
      <c r="AG45" s="38">
        <f>IF(AQ45="2",BI45,0)</f>
        <v>0</v>
      </c>
      <c r="AH45" s="38">
        <f>IF(AQ45="0",BJ45,0)</f>
        <v>0</v>
      </c>
      <c r="AI45" s="37"/>
      <c r="AJ45" s="21">
        <f>IF(AN45=0,L45,0)</f>
        <v>0</v>
      </c>
      <c r="AK45" s="21">
        <f>IF(AN45=12,L45,0)</f>
        <v>0</v>
      </c>
      <c r="AL45" s="21">
        <f>IF(AN45=21,L45,0)</f>
        <v>0</v>
      </c>
      <c r="AN45" s="38">
        <v>12</v>
      </c>
      <c r="AO45" s="38">
        <f>I45*0.109794594594595</f>
        <v>0</v>
      </c>
      <c r="AP45" s="38">
        <f>I45*(1-0.109794594594595)</f>
        <v>0</v>
      </c>
      <c r="AQ45" s="39" t="s">
        <v>7</v>
      </c>
      <c r="AV45" s="38">
        <f>AW45+AX45</f>
        <v>0</v>
      </c>
      <c r="AW45" s="38">
        <f>H45*AO45</f>
        <v>0</v>
      </c>
      <c r="AX45" s="38">
        <f>H45*AP45</f>
        <v>0</v>
      </c>
      <c r="AY45" s="41" t="s">
        <v>579</v>
      </c>
      <c r="AZ45" s="41" t="s">
        <v>608</v>
      </c>
      <c r="BA45" s="37" t="s">
        <v>616</v>
      </c>
      <c r="BC45" s="38">
        <f>AW45+AX45</f>
        <v>0</v>
      </c>
      <c r="BD45" s="38">
        <f>I45/(100-BE45)*100</f>
        <v>0</v>
      </c>
      <c r="BE45" s="38">
        <v>0</v>
      </c>
      <c r="BF45" s="38">
        <f>45</f>
        <v>45</v>
      </c>
      <c r="BH45" s="21">
        <f>H45*AO45</f>
        <v>0</v>
      </c>
      <c r="BI45" s="21">
        <f>H45*AP45</f>
        <v>0</v>
      </c>
      <c r="BJ45" s="21">
        <f>H45*I45</f>
        <v>0</v>
      </c>
      <c r="BK45" s="21" t="s">
        <v>621</v>
      </c>
      <c r="BL45" s="38">
        <v>44</v>
      </c>
    </row>
    <row r="46" spans="1:64" x14ac:dyDescent="0.2">
      <c r="A46" s="4" t="s">
        <v>23</v>
      </c>
      <c r="B46" s="13" t="s">
        <v>172</v>
      </c>
      <c r="C46" s="164" t="s">
        <v>349</v>
      </c>
      <c r="D46" s="165"/>
      <c r="E46" s="165"/>
      <c r="F46" s="165"/>
      <c r="G46" s="13" t="s">
        <v>541</v>
      </c>
      <c r="H46" s="21">
        <v>30</v>
      </c>
      <c r="I46" s="26">
        <v>0</v>
      </c>
      <c r="J46" s="21">
        <f>H46*AO46</f>
        <v>0</v>
      </c>
      <c r="K46" s="21">
        <f>H46*AP46</f>
        <v>0</v>
      </c>
      <c r="L46" s="21">
        <f>H46*I46</f>
        <v>0</v>
      </c>
      <c r="M46" s="102" t="s">
        <v>763</v>
      </c>
      <c r="N46" s="5"/>
      <c r="Z46" s="38">
        <f>IF(AQ46="5",BJ46,0)</f>
        <v>0</v>
      </c>
      <c r="AB46" s="38">
        <f>IF(AQ46="1",BH46,0)</f>
        <v>0</v>
      </c>
      <c r="AC46" s="38">
        <f>IF(AQ46="1",BI46,0)</f>
        <v>0</v>
      </c>
      <c r="AD46" s="38">
        <f>IF(AQ46="7",BH46,0)</f>
        <v>0</v>
      </c>
      <c r="AE46" s="38">
        <f>IF(AQ46="7",BI46,0)</f>
        <v>0</v>
      </c>
      <c r="AF46" s="38">
        <f>IF(AQ46="2",BH46,0)</f>
        <v>0</v>
      </c>
      <c r="AG46" s="38">
        <f>IF(AQ46="2",BI46,0)</f>
        <v>0</v>
      </c>
      <c r="AH46" s="38">
        <f>IF(AQ46="0",BJ46,0)</f>
        <v>0</v>
      </c>
      <c r="AI46" s="37"/>
      <c r="AJ46" s="21">
        <f>IF(AN46=0,L46,0)</f>
        <v>0</v>
      </c>
      <c r="AK46" s="21">
        <f>IF(AN46=12,L46,0)</f>
        <v>0</v>
      </c>
      <c r="AL46" s="21">
        <f>IF(AN46=21,L46,0)</f>
        <v>0</v>
      </c>
      <c r="AN46" s="38">
        <v>12</v>
      </c>
      <c r="AO46" s="38">
        <f>I46*0</f>
        <v>0</v>
      </c>
      <c r="AP46" s="38">
        <f>I46*(1-0)</f>
        <v>0</v>
      </c>
      <c r="AQ46" s="39" t="s">
        <v>7</v>
      </c>
      <c r="AV46" s="38">
        <f>AW46+AX46</f>
        <v>0</v>
      </c>
      <c r="AW46" s="38">
        <f>H46*AO46</f>
        <v>0</v>
      </c>
      <c r="AX46" s="38">
        <f>H46*AP46</f>
        <v>0</v>
      </c>
      <c r="AY46" s="41" t="s">
        <v>579</v>
      </c>
      <c r="AZ46" s="41" t="s">
        <v>608</v>
      </c>
      <c r="BA46" s="37" t="s">
        <v>616</v>
      </c>
      <c r="BC46" s="38">
        <f>AW46+AX46</f>
        <v>0</v>
      </c>
      <c r="BD46" s="38">
        <f>I46/(100-BE46)*100</f>
        <v>0</v>
      </c>
      <c r="BE46" s="38">
        <v>0</v>
      </c>
      <c r="BF46" s="38">
        <f>46</f>
        <v>46</v>
      </c>
      <c r="BH46" s="21">
        <f>H46*AO46</f>
        <v>0</v>
      </c>
      <c r="BI46" s="21">
        <f>H46*AP46</f>
        <v>0</v>
      </c>
      <c r="BJ46" s="21">
        <f>H46*I46</f>
        <v>0</v>
      </c>
      <c r="BK46" s="21" t="s">
        <v>621</v>
      </c>
      <c r="BL46" s="38">
        <v>44</v>
      </c>
    </row>
    <row r="47" spans="1:64" x14ac:dyDescent="0.2">
      <c r="A47" s="6"/>
      <c r="B47" s="15" t="s">
        <v>67</v>
      </c>
      <c r="C47" s="166" t="s">
        <v>350</v>
      </c>
      <c r="D47" s="167"/>
      <c r="E47" s="167"/>
      <c r="F47" s="167"/>
      <c r="G47" s="19" t="s">
        <v>6</v>
      </c>
      <c r="H47" s="19" t="s">
        <v>6</v>
      </c>
      <c r="I47" s="27" t="s">
        <v>6</v>
      </c>
      <c r="J47" s="44">
        <f>SUM(J48:J51)</f>
        <v>0</v>
      </c>
      <c r="K47" s="44">
        <f>SUM(K48:K51)</f>
        <v>0</v>
      </c>
      <c r="L47" s="44">
        <f>SUM(L48:L51)</f>
        <v>0</v>
      </c>
      <c r="M47" s="103"/>
      <c r="N47" s="5"/>
      <c r="AI47" s="37"/>
      <c r="AS47" s="44">
        <f>SUM(AJ48:AJ51)</f>
        <v>0</v>
      </c>
      <c r="AT47" s="44">
        <f>SUM(AK48:AK51)</f>
        <v>0</v>
      </c>
      <c r="AU47" s="44">
        <f>SUM(AL48:AL51)</f>
        <v>0</v>
      </c>
    </row>
    <row r="48" spans="1:64" x14ac:dyDescent="0.2">
      <c r="A48" s="85" t="s">
        <v>24</v>
      </c>
      <c r="B48" s="86" t="s">
        <v>173</v>
      </c>
      <c r="C48" s="163" t="s">
        <v>351</v>
      </c>
      <c r="D48" s="165"/>
      <c r="E48" s="165"/>
      <c r="F48" s="165"/>
      <c r="G48" s="86" t="s">
        <v>541</v>
      </c>
      <c r="H48" s="87">
        <v>64.62</v>
      </c>
      <c r="I48" s="96">
        <v>0</v>
      </c>
      <c r="J48" s="87">
        <f>H48*AO48</f>
        <v>0</v>
      </c>
      <c r="K48" s="87">
        <f>H48*AP48</f>
        <v>0</v>
      </c>
      <c r="L48" s="87">
        <f>H48*I48</f>
        <v>0</v>
      </c>
      <c r="M48" s="102" t="s">
        <v>763</v>
      </c>
      <c r="N48" s="5"/>
      <c r="Z48" s="38">
        <f>IF(AQ48="5",BJ48,0)</f>
        <v>0</v>
      </c>
      <c r="AB48" s="38">
        <f>IF(AQ48="1",BH48,0)</f>
        <v>0</v>
      </c>
      <c r="AC48" s="38">
        <f>IF(AQ48="1",BI48,0)</f>
        <v>0</v>
      </c>
      <c r="AD48" s="38">
        <f>IF(AQ48="7",BH48,0)</f>
        <v>0</v>
      </c>
      <c r="AE48" s="38">
        <f>IF(AQ48="7",BI48,0)</f>
        <v>0</v>
      </c>
      <c r="AF48" s="38">
        <f>IF(AQ48="2",BH48,0)</f>
        <v>0</v>
      </c>
      <c r="AG48" s="38">
        <f>IF(AQ48="2",BI48,0)</f>
        <v>0</v>
      </c>
      <c r="AH48" s="38">
        <f>IF(AQ48="0",BJ48,0)</f>
        <v>0</v>
      </c>
      <c r="AI48" s="37"/>
      <c r="AJ48" s="21">
        <f>IF(AN48=0,L48,0)</f>
        <v>0</v>
      </c>
      <c r="AK48" s="21">
        <f>IF(AN48=12,L48,0)</f>
        <v>0</v>
      </c>
      <c r="AL48" s="21">
        <f>IF(AN48=21,L48,0)</f>
        <v>0</v>
      </c>
      <c r="AN48" s="38">
        <v>12</v>
      </c>
      <c r="AO48" s="38">
        <f>I48*0.00167410772113749</f>
        <v>0</v>
      </c>
      <c r="AP48" s="38">
        <f>I48*(1-0.00167410772113749)</f>
        <v>0</v>
      </c>
      <c r="AQ48" s="39" t="s">
        <v>7</v>
      </c>
      <c r="AV48" s="38">
        <f>AW48+AX48</f>
        <v>0</v>
      </c>
      <c r="AW48" s="38">
        <f>H48*AO48</f>
        <v>0</v>
      </c>
      <c r="AX48" s="38">
        <f>H48*AP48</f>
        <v>0</v>
      </c>
      <c r="AY48" s="41" t="s">
        <v>580</v>
      </c>
      <c r="AZ48" s="41" t="s">
        <v>607</v>
      </c>
      <c r="BA48" s="37" t="s">
        <v>616</v>
      </c>
      <c r="BC48" s="38">
        <f>AW48+AX48</f>
        <v>0</v>
      </c>
      <c r="BD48" s="38">
        <f>I48/(100-BE48)*100</f>
        <v>0</v>
      </c>
      <c r="BE48" s="38">
        <v>0</v>
      </c>
      <c r="BF48" s="38">
        <f>48</f>
        <v>48</v>
      </c>
      <c r="BH48" s="21">
        <f>H48*AO48</f>
        <v>0</v>
      </c>
      <c r="BI48" s="21">
        <f>H48*AP48</f>
        <v>0</v>
      </c>
      <c r="BJ48" s="21">
        <f>H48*I48</f>
        <v>0</v>
      </c>
      <c r="BK48" s="21" t="s">
        <v>621</v>
      </c>
      <c r="BL48" s="38">
        <v>61</v>
      </c>
    </row>
    <row r="49" spans="1:64" ht="25.7" customHeight="1" x14ac:dyDescent="0.2">
      <c r="A49" s="5"/>
      <c r="B49" s="14" t="s">
        <v>155</v>
      </c>
      <c r="C49" s="168" t="s">
        <v>352</v>
      </c>
      <c r="D49" s="169"/>
      <c r="E49" s="169"/>
      <c r="F49" s="169"/>
      <c r="G49" s="169"/>
      <c r="H49" s="169"/>
      <c r="I49" s="170"/>
      <c r="J49" s="169"/>
      <c r="K49" s="169"/>
      <c r="L49" s="169"/>
      <c r="M49" s="171"/>
      <c r="N49" s="5"/>
    </row>
    <row r="50" spans="1:64" x14ac:dyDescent="0.2">
      <c r="A50" s="4" t="s">
        <v>25</v>
      </c>
      <c r="B50" s="13" t="s">
        <v>174</v>
      </c>
      <c r="C50" s="164" t="s">
        <v>353</v>
      </c>
      <c r="D50" s="165"/>
      <c r="E50" s="165"/>
      <c r="F50" s="165"/>
      <c r="G50" s="13" t="s">
        <v>541</v>
      </c>
      <c r="H50" s="21">
        <v>9.65</v>
      </c>
      <c r="I50" s="26">
        <v>0</v>
      </c>
      <c r="J50" s="21">
        <f>H50*AO50</f>
        <v>0</v>
      </c>
      <c r="K50" s="21">
        <f>H50*AP50</f>
        <v>0</v>
      </c>
      <c r="L50" s="21">
        <f>H50*I50</f>
        <v>0</v>
      </c>
      <c r="M50" s="102" t="s">
        <v>763</v>
      </c>
      <c r="N50" s="5"/>
      <c r="Z50" s="38">
        <f>IF(AQ50="5",BJ50,0)</f>
        <v>0</v>
      </c>
      <c r="AB50" s="38">
        <f>IF(AQ50="1",BH50,0)</f>
        <v>0</v>
      </c>
      <c r="AC50" s="38">
        <f>IF(AQ50="1",BI50,0)</f>
        <v>0</v>
      </c>
      <c r="AD50" s="38">
        <f>IF(AQ50="7",BH50,0)</f>
        <v>0</v>
      </c>
      <c r="AE50" s="38">
        <f>IF(AQ50="7",BI50,0)</f>
        <v>0</v>
      </c>
      <c r="AF50" s="38">
        <f>IF(AQ50="2",BH50,0)</f>
        <v>0</v>
      </c>
      <c r="AG50" s="38">
        <f>IF(AQ50="2",BI50,0)</f>
        <v>0</v>
      </c>
      <c r="AH50" s="38">
        <f>IF(AQ50="0",BJ50,0)</f>
        <v>0</v>
      </c>
      <c r="AI50" s="37"/>
      <c r="AJ50" s="21">
        <f>IF(AN50=0,L50,0)</f>
        <v>0</v>
      </c>
      <c r="AK50" s="21">
        <f>IF(AN50=12,L50,0)</f>
        <v>0</v>
      </c>
      <c r="AL50" s="21">
        <f>IF(AN50=21,L50,0)</f>
        <v>0</v>
      </c>
      <c r="AN50" s="38">
        <v>12</v>
      </c>
      <c r="AO50" s="38">
        <f>I50*0.109684915944301</f>
        <v>0</v>
      </c>
      <c r="AP50" s="38">
        <f>I50*(1-0.109684915944301)</f>
        <v>0</v>
      </c>
      <c r="AQ50" s="39" t="s">
        <v>7</v>
      </c>
      <c r="AV50" s="38">
        <f>AW50+AX50</f>
        <v>0</v>
      </c>
      <c r="AW50" s="38">
        <f>H50*AO50</f>
        <v>0</v>
      </c>
      <c r="AX50" s="38">
        <f>H50*AP50</f>
        <v>0</v>
      </c>
      <c r="AY50" s="41" t="s">
        <v>580</v>
      </c>
      <c r="AZ50" s="41" t="s">
        <v>607</v>
      </c>
      <c r="BA50" s="37" t="s">
        <v>616</v>
      </c>
      <c r="BC50" s="38">
        <f>AW50+AX50</f>
        <v>0</v>
      </c>
      <c r="BD50" s="38">
        <f>I50/(100-BE50)*100</f>
        <v>0</v>
      </c>
      <c r="BE50" s="38">
        <v>0</v>
      </c>
      <c r="BF50" s="38">
        <f>50</f>
        <v>50</v>
      </c>
      <c r="BH50" s="21">
        <f>H50*AO50</f>
        <v>0</v>
      </c>
      <c r="BI50" s="21">
        <f>H50*AP50</f>
        <v>0</v>
      </c>
      <c r="BJ50" s="21">
        <f>H50*I50</f>
        <v>0</v>
      </c>
      <c r="BK50" s="21" t="s">
        <v>621</v>
      </c>
      <c r="BL50" s="38">
        <v>61</v>
      </c>
    </row>
    <row r="51" spans="1:64" x14ac:dyDescent="0.2">
      <c r="A51" s="4" t="s">
        <v>26</v>
      </c>
      <c r="B51" s="13" t="s">
        <v>175</v>
      </c>
      <c r="C51" s="164" t="s">
        <v>354</v>
      </c>
      <c r="D51" s="165"/>
      <c r="E51" s="165"/>
      <c r="F51" s="165"/>
      <c r="G51" s="13" t="s">
        <v>541</v>
      </c>
      <c r="H51" s="21">
        <v>1.95</v>
      </c>
      <c r="I51" s="26">
        <v>0</v>
      </c>
      <c r="J51" s="21">
        <f>H51*AO51</f>
        <v>0</v>
      </c>
      <c r="K51" s="21">
        <f>H51*AP51</f>
        <v>0</v>
      </c>
      <c r="L51" s="21">
        <f>H51*I51</f>
        <v>0</v>
      </c>
      <c r="M51" s="102" t="s">
        <v>763</v>
      </c>
      <c r="N51" s="5"/>
      <c r="Z51" s="38">
        <f>IF(AQ51="5",BJ51,0)</f>
        <v>0</v>
      </c>
      <c r="AB51" s="38">
        <f>IF(AQ51="1",BH51,0)</f>
        <v>0</v>
      </c>
      <c r="AC51" s="38">
        <f>IF(AQ51="1",BI51,0)</f>
        <v>0</v>
      </c>
      <c r="AD51" s="38">
        <f>IF(AQ51="7",BH51,0)</f>
        <v>0</v>
      </c>
      <c r="AE51" s="38">
        <f>IF(AQ51="7",BI51,0)</f>
        <v>0</v>
      </c>
      <c r="AF51" s="38">
        <f>IF(AQ51="2",BH51,0)</f>
        <v>0</v>
      </c>
      <c r="AG51" s="38">
        <f>IF(AQ51="2",BI51,0)</f>
        <v>0</v>
      </c>
      <c r="AH51" s="38">
        <f>IF(AQ51="0",BJ51,0)</f>
        <v>0</v>
      </c>
      <c r="AI51" s="37"/>
      <c r="AJ51" s="21">
        <f>IF(AN51=0,L51,0)</f>
        <v>0</v>
      </c>
      <c r="AK51" s="21">
        <f>IF(AN51=12,L51,0)</f>
        <v>0</v>
      </c>
      <c r="AL51" s="21">
        <f>IF(AN51=21,L51,0)</f>
        <v>0</v>
      </c>
      <c r="AN51" s="38">
        <v>12</v>
      </c>
      <c r="AO51" s="38">
        <f>I51*0.0869640653917335</f>
        <v>0</v>
      </c>
      <c r="AP51" s="38">
        <f>I51*(1-0.0869640653917335)</f>
        <v>0</v>
      </c>
      <c r="AQ51" s="39" t="s">
        <v>7</v>
      </c>
      <c r="AV51" s="38">
        <f>AW51+AX51</f>
        <v>0</v>
      </c>
      <c r="AW51" s="38">
        <f>H51*AO51</f>
        <v>0</v>
      </c>
      <c r="AX51" s="38">
        <f>H51*AP51</f>
        <v>0</v>
      </c>
      <c r="AY51" s="41" t="s">
        <v>580</v>
      </c>
      <c r="AZ51" s="41" t="s">
        <v>607</v>
      </c>
      <c r="BA51" s="37" t="s">
        <v>616</v>
      </c>
      <c r="BC51" s="38">
        <f>AW51+AX51</f>
        <v>0</v>
      </c>
      <c r="BD51" s="38">
        <f>I51/(100-BE51)*100</f>
        <v>0</v>
      </c>
      <c r="BE51" s="38">
        <v>0</v>
      </c>
      <c r="BF51" s="38">
        <f>51</f>
        <v>51</v>
      </c>
      <c r="BH51" s="21">
        <f>H51*AO51</f>
        <v>0</v>
      </c>
      <c r="BI51" s="21">
        <f>H51*AP51</f>
        <v>0</v>
      </c>
      <c r="BJ51" s="21">
        <f>H51*I51</f>
        <v>0</v>
      </c>
      <c r="BK51" s="21" t="s">
        <v>621</v>
      </c>
      <c r="BL51" s="38">
        <v>61</v>
      </c>
    </row>
    <row r="52" spans="1:64" x14ac:dyDescent="0.2">
      <c r="A52" s="6"/>
      <c r="B52" s="15" t="s">
        <v>68</v>
      </c>
      <c r="C52" s="166" t="s">
        <v>355</v>
      </c>
      <c r="D52" s="167"/>
      <c r="E52" s="167"/>
      <c r="F52" s="167"/>
      <c r="G52" s="19" t="s">
        <v>6</v>
      </c>
      <c r="H52" s="19" t="s">
        <v>6</v>
      </c>
      <c r="I52" s="27" t="s">
        <v>6</v>
      </c>
      <c r="J52" s="44">
        <f>SUM(J53:J53)</f>
        <v>0</v>
      </c>
      <c r="K52" s="44">
        <f>SUM(K53:K53)</f>
        <v>0</v>
      </c>
      <c r="L52" s="44">
        <f>SUM(L53:L53)</f>
        <v>0</v>
      </c>
      <c r="M52" s="103"/>
      <c r="N52" s="5"/>
      <c r="AI52" s="37"/>
      <c r="AS52" s="44">
        <f>SUM(AJ53:AJ53)</f>
        <v>0</v>
      </c>
      <c r="AT52" s="44">
        <f>SUM(AK53:AK53)</f>
        <v>0</v>
      </c>
      <c r="AU52" s="44">
        <f>SUM(AL53:AL53)</f>
        <v>0</v>
      </c>
    </row>
    <row r="53" spans="1:64" x14ac:dyDescent="0.2">
      <c r="A53" s="4" t="s">
        <v>27</v>
      </c>
      <c r="B53" s="13" t="s">
        <v>176</v>
      </c>
      <c r="C53" s="164" t="s">
        <v>356</v>
      </c>
      <c r="D53" s="165"/>
      <c r="E53" s="165"/>
      <c r="F53" s="165"/>
      <c r="G53" s="13" t="s">
        <v>541</v>
      </c>
      <c r="H53" s="21">
        <v>53.619</v>
      </c>
      <c r="I53" s="26">
        <v>0</v>
      </c>
      <c r="J53" s="21">
        <f>H53*AO53</f>
        <v>0</v>
      </c>
      <c r="K53" s="21">
        <f>H53*AP53</f>
        <v>0</v>
      </c>
      <c r="L53" s="21">
        <f>H53*I53</f>
        <v>0</v>
      </c>
      <c r="M53" s="102" t="s">
        <v>763</v>
      </c>
      <c r="N53" s="5"/>
      <c r="Z53" s="38">
        <f>IF(AQ53="5",BJ53,0)</f>
        <v>0</v>
      </c>
      <c r="AB53" s="38">
        <f>IF(AQ53="1",BH53,0)</f>
        <v>0</v>
      </c>
      <c r="AC53" s="38">
        <f>IF(AQ53="1",BI53,0)</f>
        <v>0</v>
      </c>
      <c r="AD53" s="38">
        <f>IF(AQ53="7",BH53,0)</f>
        <v>0</v>
      </c>
      <c r="AE53" s="38">
        <f>IF(AQ53="7",BI53,0)</f>
        <v>0</v>
      </c>
      <c r="AF53" s="38">
        <f>IF(AQ53="2",BH53,0)</f>
        <v>0</v>
      </c>
      <c r="AG53" s="38">
        <f>IF(AQ53="2",BI53,0)</f>
        <v>0</v>
      </c>
      <c r="AH53" s="38">
        <f>IF(AQ53="0",BJ53,0)</f>
        <v>0</v>
      </c>
      <c r="AI53" s="37"/>
      <c r="AJ53" s="21">
        <f>IF(AN53=0,L53,0)</f>
        <v>0</v>
      </c>
      <c r="AK53" s="21">
        <f>IF(AN53=12,L53,0)</f>
        <v>0</v>
      </c>
      <c r="AL53" s="21">
        <f>IF(AN53=21,L53,0)</f>
        <v>0</v>
      </c>
      <c r="AN53" s="38">
        <v>12</v>
      </c>
      <c r="AO53" s="38">
        <f>I53*0.528417325394107</f>
        <v>0</v>
      </c>
      <c r="AP53" s="38">
        <f>I53*(1-0.528417325394107)</f>
        <v>0</v>
      </c>
      <c r="AQ53" s="39" t="s">
        <v>7</v>
      </c>
      <c r="AV53" s="38">
        <f>AW53+AX53</f>
        <v>0</v>
      </c>
      <c r="AW53" s="38">
        <f>H53*AO53</f>
        <v>0</v>
      </c>
      <c r="AX53" s="38">
        <f>H53*AP53</f>
        <v>0</v>
      </c>
      <c r="AY53" s="41" t="s">
        <v>581</v>
      </c>
      <c r="AZ53" s="41" t="s">
        <v>607</v>
      </c>
      <c r="BA53" s="37" t="s">
        <v>616</v>
      </c>
      <c r="BC53" s="38">
        <f>AW53+AX53</f>
        <v>0</v>
      </c>
      <c r="BD53" s="38">
        <f>I53/(100-BE53)*100</f>
        <v>0</v>
      </c>
      <c r="BE53" s="38">
        <v>0</v>
      </c>
      <c r="BF53" s="38">
        <f>53</f>
        <v>53</v>
      </c>
      <c r="BH53" s="21">
        <f>H53*AO53</f>
        <v>0</v>
      </c>
      <c r="BI53" s="21">
        <f>H53*AP53</f>
        <v>0</v>
      </c>
      <c r="BJ53" s="21">
        <f>H53*I53</f>
        <v>0</v>
      </c>
      <c r="BK53" s="21" t="s">
        <v>621</v>
      </c>
      <c r="BL53" s="38">
        <v>62</v>
      </c>
    </row>
    <row r="54" spans="1:64" x14ac:dyDescent="0.2">
      <c r="A54" s="5"/>
      <c r="B54" s="14" t="s">
        <v>155</v>
      </c>
      <c r="C54" s="168" t="s">
        <v>357</v>
      </c>
      <c r="D54" s="169"/>
      <c r="E54" s="169"/>
      <c r="F54" s="169"/>
      <c r="G54" s="169"/>
      <c r="H54" s="169"/>
      <c r="I54" s="170"/>
      <c r="J54" s="169"/>
      <c r="K54" s="169"/>
      <c r="L54" s="169"/>
      <c r="M54" s="171"/>
      <c r="N54" s="5"/>
    </row>
    <row r="55" spans="1:64" x14ac:dyDescent="0.2">
      <c r="A55" s="6"/>
      <c r="B55" s="15" t="s">
        <v>69</v>
      </c>
      <c r="C55" s="166" t="s">
        <v>358</v>
      </c>
      <c r="D55" s="167"/>
      <c r="E55" s="167"/>
      <c r="F55" s="167"/>
      <c r="G55" s="19" t="s">
        <v>6</v>
      </c>
      <c r="H55" s="19" t="s">
        <v>6</v>
      </c>
      <c r="I55" s="27" t="s">
        <v>6</v>
      </c>
      <c r="J55" s="44">
        <f>SUM(J56:J58)</f>
        <v>0</v>
      </c>
      <c r="K55" s="44">
        <f>SUM(K56:K58)</f>
        <v>0</v>
      </c>
      <c r="L55" s="44">
        <f>SUM(L56:L58)</f>
        <v>0</v>
      </c>
      <c r="M55" s="103"/>
      <c r="N55" s="5"/>
      <c r="AI55" s="37"/>
      <c r="AS55" s="44">
        <f>SUM(AJ56:AJ58)</f>
        <v>0</v>
      </c>
      <c r="AT55" s="44">
        <f>SUM(AK56:AK58)</f>
        <v>0</v>
      </c>
      <c r="AU55" s="44">
        <f>SUM(AL56:AL58)</f>
        <v>0</v>
      </c>
    </row>
    <row r="56" spans="1:64" x14ac:dyDescent="0.2">
      <c r="A56" s="85" t="s">
        <v>28</v>
      </c>
      <c r="B56" s="86" t="s">
        <v>177</v>
      </c>
      <c r="C56" s="163" t="s">
        <v>359</v>
      </c>
      <c r="D56" s="165"/>
      <c r="E56" s="165"/>
      <c r="F56" s="165"/>
      <c r="G56" s="86" t="s">
        <v>541</v>
      </c>
      <c r="H56" s="87">
        <v>212.6</v>
      </c>
      <c r="I56" s="96">
        <v>0</v>
      </c>
      <c r="J56" s="87">
        <f>H56*AO56</f>
        <v>0</v>
      </c>
      <c r="K56" s="87">
        <f>H56*AP56</f>
        <v>0</v>
      </c>
      <c r="L56" s="87">
        <f>H56*I56</f>
        <v>0</v>
      </c>
      <c r="M56" s="102" t="s">
        <v>763</v>
      </c>
      <c r="N56" s="5"/>
      <c r="Z56" s="38">
        <f>IF(AQ56="5",BJ56,0)</f>
        <v>0</v>
      </c>
      <c r="AB56" s="38">
        <f>IF(AQ56="1",BH56,0)</f>
        <v>0</v>
      </c>
      <c r="AC56" s="38">
        <f>IF(AQ56="1",BI56,0)</f>
        <v>0</v>
      </c>
      <c r="AD56" s="38">
        <f>IF(AQ56="7",BH56,0)</f>
        <v>0</v>
      </c>
      <c r="AE56" s="38">
        <f>IF(AQ56="7",BI56,0)</f>
        <v>0</v>
      </c>
      <c r="AF56" s="38">
        <f>IF(AQ56="2",BH56,0)</f>
        <v>0</v>
      </c>
      <c r="AG56" s="38">
        <f>IF(AQ56="2",BI56,0)</f>
        <v>0</v>
      </c>
      <c r="AH56" s="38">
        <f>IF(AQ56="0",BJ56,0)</f>
        <v>0</v>
      </c>
      <c r="AI56" s="37"/>
      <c r="AJ56" s="21">
        <f>IF(AN56=0,L56,0)</f>
        <v>0</v>
      </c>
      <c r="AK56" s="21">
        <f>IF(AN56=12,L56,0)</f>
        <v>0</v>
      </c>
      <c r="AL56" s="21">
        <f>IF(AN56=21,L56,0)</f>
        <v>0</v>
      </c>
      <c r="AN56" s="38">
        <v>12</v>
      </c>
      <c r="AO56" s="38">
        <f>I56*0.631971223021583</f>
        <v>0</v>
      </c>
      <c r="AP56" s="38">
        <f>I56*(1-0.631971223021583)</f>
        <v>0</v>
      </c>
      <c r="AQ56" s="39" t="s">
        <v>7</v>
      </c>
      <c r="AV56" s="38">
        <f>AW56+AX56</f>
        <v>0</v>
      </c>
      <c r="AW56" s="38">
        <f>H56*AO56</f>
        <v>0</v>
      </c>
      <c r="AX56" s="38">
        <f>H56*AP56</f>
        <v>0</v>
      </c>
      <c r="AY56" s="41" t="s">
        <v>582</v>
      </c>
      <c r="AZ56" s="41" t="s">
        <v>607</v>
      </c>
      <c r="BA56" s="37" t="s">
        <v>616</v>
      </c>
      <c r="BC56" s="38">
        <f>AW56+AX56</f>
        <v>0</v>
      </c>
      <c r="BD56" s="38">
        <f>I56/(100-BE56)*100</f>
        <v>0</v>
      </c>
      <c r="BE56" s="38">
        <v>0</v>
      </c>
      <c r="BF56" s="38">
        <f>56</f>
        <v>56</v>
      </c>
      <c r="BH56" s="21">
        <f>H56*AO56</f>
        <v>0</v>
      </c>
      <c r="BI56" s="21">
        <f>H56*AP56</f>
        <v>0</v>
      </c>
      <c r="BJ56" s="21">
        <f>H56*I56</f>
        <v>0</v>
      </c>
      <c r="BK56" s="21" t="s">
        <v>621</v>
      </c>
      <c r="BL56" s="38">
        <v>63</v>
      </c>
    </row>
    <row r="57" spans="1:64" x14ac:dyDescent="0.2">
      <c r="A57" s="5"/>
      <c r="B57" s="14" t="s">
        <v>155</v>
      </c>
      <c r="C57" s="168" t="s">
        <v>360</v>
      </c>
      <c r="D57" s="169"/>
      <c r="E57" s="169"/>
      <c r="F57" s="169"/>
      <c r="G57" s="169"/>
      <c r="H57" s="169"/>
      <c r="I57" s="170"/>
      <c r="J57" s="169"/>
      <c r="K57" s="169"/>
      <c r="L57" s="169"/>
      <c r="M57" s="171"/>
      <c r="N57" s="5"/>
    </row>
    <row r="58" spans="1:64" x14ac:dyDescent="0.2">
      <c r="A58" s="4" t="s">
        <v>29</v>
      </c>
      <c r="B58" s="13" t="s">
        <v>178</v>
      </c>
      <c r="C58" s="164" t="s">
        <v>361</v>
      </c>
      <c r="D58" s="165"/>
      <c r="E58" s="165"/>
      <c r="F58" s="165"/>
      <c r="G58" s="13" t="s">
        <v>541</v>
      </c>
      <c r="H58" s="21">
        <v>19.5</v>
      </c>
      <c r="I58" s="26">
        <v>0</v>
      </c>
      <c r="J58" s="21">
        <f>H58*AO58</f>
        <v>0</v>
      </c>
      <c r="K58" s="21">
        <f>H58*AP58</f>
        <v>0</v>
      </c>
      <c r="L58" s="21">
        <f>H58*I58</f>
        <v>0</v>
      </c>
      <c r="M58" s="102" t="s">
        <v>763</v>
      </c>
      <c r="N58" s="5"/>
      <c r="Z58" s="38">
        <f>IF(AQ58="5",BJ58,0)</f>
        <v>0</v>
      </c>
      <c r="AB58" s="38">
        <f>IF(AQ58="1",BH58,0)</f>
        <v>0</v>
      </c>
      <c r="AC58" s="38">
        <f>IF(AQ58="1",BI58,0)</f>
        <v>0</v>
      </c>
      <c r="AD58" s="38">
        <f>IF(AQ58="7",BH58,0)</f>
        <v>0</v>
      </c>
      <c r="AE58" s="38">
        <f>IF(AQ58="7",BI58,0)</f>
        <v>0</v>
      </c>
      <c r="AF58" s="38">
        <f>IF(AQ58="2",BH58,0)</f>
        <v>0</v>
      </c>
      <c r="AG58" s="38">
        <f>IF(AQ58="2",BI58,0)</f>
        <v>0</v>
      </c>
      <c r="AH58" s="38">
        <f>IF(AQ58="0",BJ58,0)</f>
        <v>0</v>
      </c>
      <c r="AI58" s="37"/>
      <c r="AJ58" s="21">
        <f>IF(AN58=0,L58,0)</f>
        <v>0</v>
      </c>
      <c r="AK58" s="21">
        <f>IF(AN58=12,L58,0)</f>
        <v>0</v>
      </c>
      <c r="AL58" s="21">
        <f>IF(AN58=21,L58,0)</f>
        <v>0</v>
      </c>
      <c r="AN58" s="38">
        <v>12</v>
      </c>
      <c r="AO58" s="38">
        <f>I58*0.248099301784329</f>
        <v>0</v>
      </c>
      <c r="AP58" s="38">
        <f>I58*(1-0.248099301784329)</f>
        <v>0</v>
      </c>
      <c r="AQ58" s="39" t="s">
        <v>7</v>
      </c>
      <c r="AV58" s="38">
        <f>AW58+AX58</f>
        <v>0</v>
      </c>
      <c r="AW58" s="38">
        <f>H58*AO58</f>
        <v>0</v>
      </c>
      <c r="AX58" s="38">
        <f>H58*AP58</f>
        <v>0</v>
      </c>
      <c r="AY58" s="41" t="s">
        <v>582</v>
      </c>
      <c r="AZ58" s="41" t="s">
        <v>607</v>
      </c>
      <c r="BA58" s="37" t="s">
        <v>616</v>
      </c>
      <c r="BC58" s="38">
        <f>AW58+AX58</f>
        <v>0</v>
      </c>
      <c r="BD58" s="38">
        <f>I58/(100-BE58)*100</f>
        <v>0</v>
      </c>
      <c r="BE58" s="38">
        <v>0</v>
      </c>
      <c r="BF58" s="38">
        <f>58</f>
        <v>58</v>
      </c>
      <c r="BH58" s="21">
        <f>H58*AO58</f>
        <v>0</v>
      </c>
      <c r="BI58" s="21">
        <f>H58*AP58</f>
        <v>0</v>
      </c>
      <c r="BJ58" s="21">
        <f>H58*I58</f>
        <v>0</v>
      </c>
      <c r="BK58" s="21" t="s">
        <v>621</v>
      </c>
      <c r="BL58" s="38">
        <v>63</v>
      </c>
    </row>
    <row r="59" spans="1:64" x14ac:dyDescent="0.2">
      <c r="A59" s="5"/>
      <c r="B59" s="14" t="s">
        <v>155</v>
      </c>
      <c r="C59" s="168" t="s">
        <v>362</v>
      </c>
      <c r="D59" s="169"/>
      <c r="E59" s="169"/>
      <c r="F59" s="169"/>
      <c r="G59" s="169"/>
      <c r="H59" s="169"/>
      <c r="I59" s="170"/>
      <c r="J59" s="169"/>
      <c r="K59" s="169"/>
      <c r="L59" s="169"/>
      <c r="M59" s="171"/>
      <c r="N59" s="5"/>
    </row>
    <row r="60" spans="1:64" x14ac:dyDescent="0.2">
      <c r="A60" s="6"/>
      <c r="B60" s="15" t="s">
        <v>70</v>
      </c>
      <c r="C60" s="166" t="s">
        <v>363</v>
      </c>
      <c r="D60" s="167"/>
      <c r="E60" s="167"/>
      <c r="F60" s="167"/>
      <c r="G60" s="19" t="s">
        <v>6</v>
      </c>
      <c r="H60" s="19" t="s">
        <v>6</v>
      </c>
      <c r="I60" s="27" t="s">
        <v>6</v>
      </c>
      <c r="J60" s="44">
        <f>SUM(J61:J63)</f>
        <v>0</v>
      </c>
      <c r="K60" s="44">
        <f>SUM(K61:K63)</f>
        <v>0</v>
      </c>
      <c r="L60" s="44">
        <f>SUM(L61:L63)</f>
        <v>0</v>
      </c>
      <c r="M60" s="103"/>
      <c r="N60" s="5"/>
      <c r="AI60" s="37"/>
      <c r="AS60" s="44">
        <f>SUM(AJ61:AJ63)</f>
        <v>0</v>
      </c>
      <c r="AT60" s="44">
        <f>SUM(AK61:AK63)</f>
        <v>0</v>
      </c>
      <c r="AU60" s="44">
        <f>SUM(AL61:AL63)</f>
        <v>0</v>
      </c>
    </row>
    <row r="61" spans="1:64" x14ac:dyDescent="0.2">
      <c r="A61" s="4" t="s">
        <v>30</v>
      </c>
      <c r="B61" s="13" t="s">
        <v>179</v>
      </c>
      <c r="C61" s="164" t="s">
        <v>364</v>
      </c>
      <c r="D61" s="165"/>
      <c r="E61" s="165"/>
      <c r="F61" s="165"/>
      <c r="G61" s="13" t="s">
        <v>540</v>
      </c>
      <c r="H61" s="21">
        <v>6</v>
      </c>
      <c r="I61" s="26">
        <v>0</v>
      </c>
      <c r="J61" s="21">
        <f>H61*AO61</f>
        <v>0</v>
      </c>
      <c r="K61" s="21">
        <f>H61*AP61</f>
        <v>0</v>
      </c>
      <c r="L61" s="21">
        <f>H61*I61</f>
        <v>0</v>
      </c>
      <c r="M61" s="102" t="s">
        <v>764</v>
      </c>
      <c r="N61" s="5"/>
      <c r="Z61" s="38">
        <f>IF(AQ61="5",BJ61,0)</f>
        <v>0</v>
      </c>
      <c r="AB61" s="38">
        <f>IF(AQ61="1",BH61,0)</f>
        <v>0</v>
      </c>
      <c r="AC61" s="38">
        <f>IF(AQ61="1",BI61,0)</f>
        <v>0</v>
      </c>
      <c r="AD61" s="38">
        <f>IF(AQ61="7",BH61,0)</f>
        <v>0</v>
      </c>
      <c r="AE61" s="38">
        <f>IF(AQ61="7",BI61,0)</f>
        <v>0</v>
      </c>
      <c r="AF61" s="38">
        <f>IF(AQ61="2",BH61,0)</f>
        <v>0</v>
      </c>
      <c r="AG61" s="38">
        <f>IF(AQ61="2",BI61,0)</f>
        <v>0</v>
      </c>
      <c r="AH61" s="38">
        <f>IF(AQ61="0",BJ61,0)</f>
        <v>0</v>
      </c>
      <c r="AI61" s="37"/>
      <c r="AJ61" s="21">
        <f>IF(AN61=0,L61,0)</f>
        <v>0</v>
      </c>
      <c r="AK61" s="21">
        <f>IF(AN61=12,L61,0)</f>
        <v>0</v>
      </c>
      <c r="AL61" s="21">
        <f>IF(AN61=21,L61,0)</f>
        <v>0</v>
      </c>
      <c r="AN61" s="38">
        <v>12</v>
      </c>
      <c r="AO61" s="38">
        <f>I61*0.652652985074627</f>
        <v>0</v>
      </c>
      <c r="AP61" s="38">
        <f>I61*(1-0.652652985074627)</f>
        <v>0</v>
      </c>
      <c r="AQ61" s="39" t="s">
        <v>7</v>
      </c>
      <c r="AV61" s="38">
        <f>AW61+AX61</f>
        <v>0</v>
      </c>
      <c r="AW61" s="38">
        <f>H61*AO61</f>
        <v>0</v>
      </c>
      <c r="AX61" s="38">
        <f>H61*AP61</f>
        <v>0</v>
      </c>
      <c r="AY61" s="41" t="s">
        <v>583</v>
      </c>
      <c r="AZ61" s="41" t="s">
        <v>607</v>
      </c>
      <c r="BA61" s="37" t="s">
        <v>616</v>
      </c>
      <c r="BC61" s="38">
        <f>AW61+AX61</f>
        <v>0</v>
      </c>
      <c r="BD61" s="38">
        <f>I61/(100-BE61)*100</f>
        <v>0</v>
      </c>
      <c r="BE61" s="38">
        <v>0</v>
      </c>
      <c r="BF61" s="38">
        <f>61</f>
        <v>61</v>
      </c>
      <c r="BH61" s="21">
        <f>H61*AO61</f>
        <v>0</v>
      </c>
      <c r="BI61" s="21">
        <f>H61*AP61</f>
        <v>0</v>
      </c>
      <c r="BJ61" s="21">
        <f>H61*I61</f>
        <v>0</v>
      </c>
      <c r="BK61" s="21" t="s">
        <v>621</v>
      </c>
      <c r="BL61" s="38">
        <v>64</v>
      </c>
    </row>
    <row r="62" spans="1:64" x14ac:dyDescent="0.2">
      <c r="A62" s="5"/>
      <c r="B62" s="14" t="s">
        <v>155</v>
      </c>
      <c r="C62" s="168" t="s">
        <v>365</v>
      </c>
      <c r="D62" s="169"/>
      <c r="E62" s="169"/>
      <c r="F62" s="169"/>
      <c r="G62" s="169"/>
      <c r="H62" s="169"/>
      <c r="I62" s="170"/>
      <c r="J62" s="169"/>
      <c r="K62" s="169"/>
      <c r="L62" s="169"/>
      <c r="M62" s="171"/>
      <c r="N62" s="5"/>
    </row>
    <row r="63" spans="1:64" x14ac:dyDescent="0.2">
      <c r="A63" s="85" t="s">
        <v>31</v>
      </c>
      <c r="B63" s="86" t="s">
        <v>180</v>
      </c>
      <c r="C63" s="163" t="s">
        <v>366</v>
      </c>
      <c r="D63" s="165"/>
      <c r="E63" s="165"/>
      <c r="F63" s="165"/>
      <c r="G63" s="86" t="s">
        <v>540</v>
      </c>
      <c r="H63" s="87">
        <v>2</v>
      </c>
      <c r="I63" s="96">
        <v>0</v>
      </c>
      <c r="J63" s="87">
        <f>H63*AO63</f>
        <v>0</v>
      </c>
      <c r="K63" s="87">
        <f>H63*AP63</f>
        <v>0</v>
      </c>
      <c r="L63" s="87">
        <f>H63*I63</f>
        <v>0</v>
      </c>
      <c r="M63" s="104" t="s">
        <v>764</v>
      </c>
      <c r="N63" s="5"/>
      <c r="Z63" s="38">
        <f>IF(AQ63="5",BJ63,0)</f>
        <v>0</v>
      </c>
      <c r="AB63" s="38">
        <f>IF(AQ63="1",BH63,0)</f>
        <v>0</v>
      </c>
      <c r="AC63" s="38">
        <f>IF(AQ63="1",BI63,0)</f>
        <v>0</v>
      </c>
      <c r="AD63" s="38">
        <f>IF(AQ63="7",BH63,0)</f>
        <v>0</v>
      </c>
      <c r="AE63" s="38">
        <f>IF(AQ63="7",BI63,0)</f>
        <v>0</v>
      </c>
      <c r="AF63" s="38">
        <f>IF(AQ63="2",BH63,0)</f>
        <v>0</v>
      </c>
      <c r="AG63" s="38">
        <f>IF(AQ63="2",BI63,0)</f>
        <v>0</v>
      </c>
      <c r="AH63" s="38">
        <f>IF(AQ63="0",BJ63,0)</f>
        <v>0</v>
      </c>
      <c r="AI63" s="37"/>
      <c r="AJ63" s="21">
        <f>IF(AN63=0,L63,0)</f>
        <v>0</v>
      </c>
      <c r="AK63" s="21">
        <f>IF(AN63=12,L63,0)</f>
        <v>0</v>
      </c>
      <c r="AL63" s="21">
        <f>IF(AN63=21,L63,0)</f>
        <v>0</v>
      </c>
      <c r="AN63" s="38">
        <v>12</v>
      </c>
      <c r="AO63" s="38">
        <f>I63*0.26814381270903</f>
        <v>0</v>
      </c>
      <c r="AP63" s="38">
        <f>I63*(1-0.26814381270903)</f>
        <v>0</v>
      </c>
      <c r="AQ63" s="39" t="s">
        <v>7</v>
      </c>
      <c r="AV63" s="38">
        <f>AW63+AX63</f>
        <v>0</v>
      </c>
      <c r="AW63" s="38">
        <f>H63*AO63</f>
        <v>0</v>
      </c>
      <c r="AX63" s="38">
        <f>H63*AP63</f>
        <v>0</v>
      </c>
      <c r="AY63" s="41" t="s">
        <v>583</v>
      </c>
      <c r="AZ63" s="41" t="s">
        <v>607</v>
      </c>
      <c r="BA63" s="37" t="s">
        <v>616</v>
      </c>
      <c r="BC63" s="38">
        <f>AW63+AX63</f>
        <v>0</v>
      </c>
      <c r="BD63" s="38">
        <f>I63/(100-BE63)*100</f>
        <v>0</v>
      </c>
      <c r="BE63" s="38">
        <v>0</v>
      </c>
      <c r="BF63" s="38">
        <f>63</f>
        <v>63</v>
      </c>
      <c r="BH63" s="21">
        <f>H63*AO63</f>
        <v>0</v>
      </c>
      <c r="BI63" s="21">
        <f>H63*AP63</f>
        <v>0</v>
      </c>
      <c r="BJ63" s="21">
        <f>H63*I63</f>
        <v>0</v>
      </c>
      <c r="BK63" s="21" t="s">
        <v>621</v>
      </c>
      <c r="BL63" s="38">
        <v>64</v>
      </c>
    </row>
    <row r="64" spans="1:64" x14ac:dyDescent="0.2">
      <c r="A64" s="6"/>
      <c r="B64" s="15" t="s">
        <v>181</v>
      </c>
      <c r="C64" s="166" t="s">
        <v>367</v>
      </c>
      <c r="D64" s="167"/>
      <c r="E64" s="167"/>
      <c r="F64" s="167"/>
      <c r="G64" s="19" t="s">
        <v>6</v>
      </c>
      <c r="H64" s="19" t="s">
        <v>6</v>
      </c>
      <c r="I64" s="27" t="s">
        <v>6</v>
      </c>
      <c r="J64" s="44">
        <f>SUM(J65:J67)</f>
        <v>0</v>
      </c>
      <c r="K64" s="44">
        <f>SUM(K65:K67)</f>
        <v>0</v>
      </c>
      <c r="L64" s="44">
        <f>SUM(L65:L67)</f>
        <v>0</v>
      </c>
      <c r="M64" s="103"/>
      <c r="N64" s="5"/>
      <c r="AI64" s="37"/>
      <c r="AS64" s="44">
        <f>SUM(AJ65:AJ67)</f>
        <v>0</v>
      </c>
      <c r="AT64" s="44">
        <f>SUM(AK65:AK67)</f>
        <v>0</v>
      </c>
      <c r="AU64" s="44">
        <f>SUM(AL65:AL67)</f>
        <v>0</v>
      </c>
    </row>
    <row r="65" spans="1:64" x14ac:dyDescent="0.2">
      <c r="A65" s="4" t="s">
        <v>32</v>
      </c>
      <c r="B65" s="13" t="s">
        <v>182</v>
      </c>
      <c r="C65" s="164" t="s">
        <v>368</v>
      </c>
      <c r="D65" s="165"/>
      <c r="E65" s="165"/>
      <c r="F65" s="165"/>
      <c r="G65" s="13" t="s">
        <v>541</v>
      </c>
      <c r="H65" s="21">
        <v>36</v>
      </c>
      <c r="I65" s="26">
        <v>0</v>
      </c>
      <c r="J65" s="21">
        <f>H65*AO65</f>
        <v>0</v>
      </c>
      <c r="K65" s="21">
        <f>H65*AP65</f>
        <v>0</v>
      </c>
      <c r="L65" s="21">
        <f>H65*I65</f>
        <v>0</v>
      </c>
      <c r="M65" s="102" t="s">
        <v>764</v>
      </c>
      <c r="N65" s="5"/>
      <c r="Z65" s="38">
        <f>IF(AQ65="5",BJ65,0)</f>
        <v>0</v>
      </c>
      <c r="AB65" s="38">
        <f>IF(AQ65="1",BH65,0)</f>
        <v>0</v>
      </c>
      <c r="AC65" s="38">
        <f>IF(AQ65="1",BI65,0)</f>
        <v>0</v>
      </c>
      <c r="AD65" s="38">
        <f>IF(AQ65="7",BH65,0)</f>
        <v>0</v>
      </c>
      <c r="AE65" s="38">
        <f>IF(AQ65="7",BI65,0)</f>
        <v>0</v>
      </c>
      <c r="AF65" s="38">
        <f>IF(AQ65="2",BH65,0)</f>
        <v>0</v>
      </c>
      <c r="AG65" s="38">
        <f>IF(AQ65="2",BI65,0)</f>
        <v>0</v>
      </c>
      <c r="AH65" s="38">
        <f>IF(AQ65="0",BJ65,0)</f>
        <v>0</v>
      </c>
      <c r="AI65" s="37"/>
      <c r="AJ65" s="21">
        <f>IF(AN65=0,L65,0)</f>
        <v>0</v>
      </c>
      <c r="AK65" s="21">
        <f>IF(AN65=12,L65,0)</f>
        <v>0</v>
      </c>
      <c r="AL65" s="21">
        <f>IF(AN65=21,L65,0)</f>
        <v>0</v>
      </c>
      <c r="AN65" s="38">
        <v>12</v>
      </c>
      <c r="AO65" s="38">
        <f>I65*0.470764872521246</f>
        <v>0</v>
      </c>
      <c r="AP65" s="38">
        <f>I65*(1-0.470764872521246)</f>
        <v>0</v>
      </c>
      <c r="AQ65" s="39" t="s">
        <v>13</v>
      </c>
      <c r="AV65" s="38">
        <f>AW65+AX65</f>
        <v>0</v>
      </c>
      <c r="AW65" s="38">
        <f>H65*AO65</f>
        <v>0</v>
      </c>
      <c r="AX65" s="38">
        <f>H65*AP65</f>
        <v>0</v>
      </c>
      <c r="AY65" s="41" t="s">
        <v>584</v>
      </c>
      <c r="AZ65" s="41" t="s">
        <v>609</v>
      </c>
      <c r="BA65" s="37" t="s">
        <v>616</v>
      </c>
      <c r="BC65" s="38">
        <f>AW65+AX65</f>
        <v>0</v>
      </c>
      <c r="BD65" s="38">
        <f>I65/(100-BE65)*100</f>
        <v>0</v>
      </c>
      <c r="BE65" s="38">
        <v>0</v>
      </c>
      <c r="BF65" s="38">
        <f>65</f>
        <v>65</v>
      </c>
      <c r="BH65" s="21">
        <f>H65*AO65</f>
        <v>0</v>
      </c>
      <c r="BI65" s="21">
        <f>H65*AP65</f>
        <v>0</v>
      </c>
      <c r="BJ65" s="21">
        <f>H65*I65</f>
        <v>0</v>
      </c>
      <c r="BK65" s="21" t="s">
        <v>621</v>
      </c>
      <c r="BL65" s="38">
        <v>713</v>
      </c>
    </row>
    <row r="66" spans="1:64" x14ac:dyDescent="0.2">
      <c r="A66" s="5"/>
      <c r="B66" s="14" t="s">
        <v>155</v>
      </c>
      <c r="C66" s="168" t="s">
        <v>369</v>
      </c>
      <c r="D66" s="169"/>
      <c r="E66" s="169"/>
      <c r="F66" s="169"/>
      <c r="G66" s="169"/>
      <c r="H66" s="169"/>
      <c r="I66" s="170"/>
      <c r="J66" s="169"/>
      <c r="K66" s="169"/>
      <c r="L66" s="169"/>
      <c r="M66" s="171"/>
      <c r="N66" s="5"/>
    </row>
    <row r="67" spans="1:64" x14ac:dyDescent="0.2">
      <c r="A67" s="85" t="s">
        <v>33</v>
      </c>
      <c r="B67" s="86" t="s">
        <v>183</v>
      </c>
      <c r="C67" s="163" t="s">
        <v>370</v>
      </c>
      <c r="D67" s="165"/>
      <c r="E67" s="165"/>
      <c r="F67" s="165"/>
      <c r="G67" s="86" t="s">
        <v>541</v>
      </c>
      <c r="H67" s="87">
        <v>1</v>
      </c>
      <c r="I67" s="96">
        <v>0</v>
      </c>
      <c r="J67" s="87">
        <f>H67*AO67</f>
        <v>0</v>
      </c>
      <c r="K67" s="87">
        <f>H67*AP67</f>
        <v>0</v>
      </c>
      <c r="L67" s="87">
        <f>H67*I67</f>
        <v>0</v>
      </c>
      <c r="M67" s="104" t="s">
        <v>763</v>
      </c>
      <c r="N67" s="5"/>
      <c r="Z67" s="38">
        <f>IF(AQ67="5",BJ67,0)</f>
        <v>0</v>
      </c>
      <c r="AB67" s="38">
        <f>IF(AQ67="1",BH67,0)</f>
        <v>0</v>
      </c>
      <c r="AC67" s="38">
        <f>IF(AQ67="1",BI67,0)</f>
        <v>0</v>
      </c>
      <c r="AD67" s="38">
        <f>IF(AQ67="7",BH67,0)</f>
        <v>0</v>
      </c>
      <c r="AE67" s="38">
        <f>IF(AQ67="7",BI67,0)</f>
        <v>0</v>
      </c>
      <c r="AF67" s="38">
        <f>IF(AQ67="2",BH67,0)</f>
        <v>0</v>
      </c>
      <c r="AG67" s="38">
        <f>IF(AQ67="2",BI67,0)</f>
        <v>0</v>
      </c>
      <c r="AH67" s="38">
        <f>IF(AQ67="0",BJ67,0)</f>
        <v>0</v>
      </c>
      <c r="AI67" s="37"/>
      <c r="AJ67" s="21">
        <f>IF(AN67=0,L67,0)</f>
        <v>0</v>
      </c>
      <c r="AK67" s="21">
        <f>IF(AN67=12,L67,0)</f>
        <v>0</v>
      </c>
      <c r="AL67" s="21">
        <f>IF(AN67=21,L67,0)</f>
        <v>0</v>
      </c>
      <c r="AN67" s="38">
        <v>12</v>
      </c>
      <c r="AO67" s="38">
        <f>I67*0.0269018743109151</f>
        <v>0</v>
      </c>
      <c r="AP67" s="38">
        <f>I67*(1-0.0269018743109151)</f>
        <v>0</v>
      </c>
      <c r="AQ67" s="39" t="s">
        <v>13</v>
      </c>
      <c r="AV67" s="38">
        <f>AW67+AX67</f>
        <v>0</v>
      </c>
      <c r="AW67" s="38">
        <f>H67*AO67</f>
        <v>0</v>
      </c>
      <c r="AX67" s="38">
        <f>H67*AP67</f>
        <v>0</v>
      </c>
      <c r="AY67" s="41" t="s">
        <v>584</v>
      </c>
      <c r="AZ67" s="41" t="s">
        <v>609</v>
      </c>
      <c r="BA67" s="37" t="s">
        <v>616</v>
      </c>
      <c r="BC67" s="38">
        <f>AW67+AX67</f>
        <v>0</v>
      </c>
      <c r="BD67" s="38">
        <f>I67/(100-BE67)*100</f>
        <v>0</v>
      </c>
      <c r="BE67" s="38">
        <v>0</v>
      </c>
      <c r="BF67" s="38">
        <f>67</f>
        <v>67</v>
      </c>
      <c r="BH67" s="21">
        <f>H67*AO67</f>
        <v>0</v>
      </c>
      <c r="BI67" s="21">
        <f>H67*AP67</f>
        <v>0</v>
      </c>
      <c r="BJ67" s="21">
        <f>H67*I67</f>
        <v>0</v>
      </c>
      <c r="BK67" s="21" t="s">
        <v>621</v>
      </c>
      <c r="BL67" s="38">
        <v>713</v>
      </c>
    </row>
    <row r="68" spans="1:64" x14ac:dyDescent="0.2">
      <c r="A68" s="5"/>
      <c r="B68" s="14" t="s">
        <v>155</v>
      </c>
      <c r="C68" s="168" t="s">
        <v>371</v>
      </c>
      <c r="D68" s="169"/>
      <c r="E68" s="169"/>
      <c r="F68" s="169"/>
      <c r="G68" s="169"/>
      <c r="H68" s="169"/>
      <c r="I68" s="170"/>
      <c r="J68" s="169"/>
      <c r="K68" s="169"/>
      <c r="L68" s="169"/>
      <c r="M68" s="171"/>
      <c r="N68" s="5"/>
    </row>
    <row r="69" spans="1:64" x14ac:dyDescent="0.2">
      <c r="A69" s="6"/>
      <c r="B69" s="15" t="s">
        <v>184</v>
      </c>
      <c r="C69" s="166" t="s">
        <v>372</v>
      </c>
      <c r="D69" s="167"/>
      <c r="E69" s="167"/>
      <c r="F69" s="167"/>
      <c r="G69" s="19" t="s">
        <v>6</v>
      </c>
      <c r="H69" s="19" t="s">
        <v>6</v>
      </c>
      <c r="I69" s="27" t="s">
        <v>6</v>
      </c>
      <c r="J69" s="44">
        <f>SUM(J70:J70)</f>
        <v>0</v>
      </c>
      <c r="K69" s="44">
        <f>SUM(K70:K70)</f>
        <v>0</v>
      </c>
      <c r="L69" s="44">
        <f>SUM(L70:L70)</f>
        <v>0</v>
      </c>
      <c r="M69" s="103"/>
      <c r="N69" s="5"/>
      <c r="AI69" s="37"/>
      <c r="AS69" s="44">
        <f>SUM(AJ70:AJ70)</f>
        <v>0</v>
      </c>
      <c r="AT69" s="44">
        <f>SUM(AK70:AK70)</f>
        <v>0</v>
      </c>
      <c r="AU69" s="44">
        <f>SUM(AL70:AL70)</f>
        <v>0</v>
      </c>
    </row>
    <row r="70" spans="1:64" x14ac:dyDescent="0.2">
      <c r="A70" s="4" t="s">
        <v>34</v>
      </c>
      <c r="B70" s="13" t="s">
        <v>185</v>
      </c>
      <c r="C70" s="164" t="s">
        <v>373</v>
      </c>
      <c r="D70" s="165"/>
      <c r="E70" s="165"/>
      <c r="F70" s="165"/>
      <c r="G70" s="13" t="s">
        <v>540</v>
      </c>
      <c r="H70" s="21">
        <v>1</v>
      </c>
      <c r="I70" s="26">
        <v>0</v>
      </c>
      <c r="J70" s="21">
        <f>H70*AO70</f>
        <v>0</v>
      </c>
      <c r="K70" s="21">
        <f>H70*AP70</f>
        <v>0</v>
      </c>
      <c r="L70" s="21">
        <f>H70*I70</f>
        <v>0</v>
      </c>
      <c r="M70" s="104" t="s">
        <v>763</v>
      </c>
      <c r="N70" s="5"/>
      <c r="Z70" s="38">
        <f>IF(AQ70="5",BJ70,0)</f>
        <v>0</v>
      </c>
      <c r="AB70" s="38">
        <f>IF(AQ70="1",BH70,0)</f>
        <v>0</v>
      </c>
      <c r="AC70" s="38">
        <f>IF(AQ70="1",BI70,0)</f>
        <v>0</v>
      </c>
      <c r="AD70" s="38">
        <f>IF(AQ70="7",BH70,0)</f>
        <v>0</v>
      </c>
      <c r="AE70" s="38">
        <f>IF(AQ70="7",BI70,0)</f>
        <v>0</v>
      </c>
      <c r="AF70" s="38">
        <f>IF(AQ70="2",BH70,0)</f>
        <v>0</v>
      </c>
      <c r="AG70" s="38">
        <f>IF(AQ70="2",BI70,0)</f>
        <v>0</v>
      </c>
      <c r="AH70" s="38">
        <f>IF(AQ70="0",BJ70,0)</f>
        <v>0</v>
      </c>
      <c r="AI70" s="37"/>
      <c r="AJ70" s="21">
        <f>IF(AN70=0,L70,0)</f>
        <v>0</v>
      </c>
      <c r="AK70" s="21">
        <f>IF(AN70=12,L70,0)</f>
        <v>0</v>
      </c>
      <c r="AL70" s="21">
        <f>IF(AN70=21,L70,0)</f>
        <v>0</v>
      </c>
      <c r="AN70" s="38">
        <v>12</v>
      </c>
      <c r="AO70" s="38">
        <f>I70*0.84761744966443</f>
        <v>0</v>
      </c>
      <c r="AP70" s="38">
        <f>I70*(1-0.84761744966443)</f>
        <v>0</v>
      </c>
      <c r="AQ70" s="39" t="s">
        <v>13</v>
      </c>
      <c r="AV70" s="38">
        <f>AW70+AX70</f>
        <v>0</v>
      </c>
      <c r="AW70" s="38">
        <f>H70*AO70</f>
        <v>0</v>
      </c>
      <c r="AX70" s="38">
        <f>H70*AP70</f>
        <v>0</v>
      </c>
      <c r="AY70" s="41" t="s">
        <v>585</v>
      </c>
      <c r="AZ70" s="41" t="s">
        <v>610</v>
      </c>
      <c r="BA70" s="37" t="s">
        <v>616</v>
      </c>
      <c r="BC70" s="38">
        <f>AW70+AX70</f>
        <v>0</v>
      </c>
      <c r="BD70" s="38">
        <f>I70/(100-BE70)*100</f>
        <v>0</v>
      </c>
      <c r="BE70" s="38">
        <v>0</v>
      </c>
      <c r="BF70" s="38">
        <f>70</f>
        <v>70</v>
      </c>
      <c r="BH70" s="21">
        <f>H70*AO70</f>
        <v>0</v>
      </c>
      <c r="BI70" s="21">
        <f>H70*AP70</f>
        <v>0</v>
      </c>
      <c r="BJ70" s="21">
        <f>H70*I70</f>
        <v>0</v>
      </c>
      <c r="BK70" s="21" t="s">
        <v>621</v>
      </c>
      <c r="BL70" s="38">
        <v>734</v>
      </c>
    </row>
    <row r="71" spans="1:64" x14ac:dyDescent="0.2">
      <c r="A71" s="6"/>
      <c r="B71" s="15" t="s">
        <v>186</v>
      </c>
      <c r="C71" s="166" t="s">
        <v>374</v>
      </c>
      <c r="D71" s="167"/>
      <c r="E71" s="167"/>
      <c r="F71" s="167"/>
      <c r="G71" s="19" t="s">
        <v>6</v>
      </c>
      <c r="H71" s="19" t="s">
        <v>6</v>
      </c>
      <c r="I71" s="27" t="s">
        <v>6</v>
      </c>
      <c r="J71" s="44">
        <f>SUM(J72:J75)</f>
        <v>0</v>
      </c>
      <c r="K71" s="44">
        <f>SUM(K72:K75)</f>
        <v>0</v>
      </c>
      <c r="L71" s="44">
        <f>SUM(L72:L75)</f>
        <v>0</v>
      </c>
      <c r="M71" s="103"/>
      <c r="N71" s="5"/>
      <c r="AI71" s="37"/>
      <c r="AS71" s="44">
        <f>SUM(AJ72:AJ75)</f>
        <v>0</v>
      </c>
      <c r="AT71" s="44">
        <f>SUM(AK72:AK75)</f>
        <v>0</v>
      </c>
      <c r="AU71" s="44">
        <f>SUM(AL72:AL75)</f>
        <v>0</v>
      </c>
    </row>
    <row r="72" spans="1:64" x14ac:dyDescent="0.2">
      <c r="A72" s="4" t="s">
        <v>35</v>
      </c>
      <c r="B72" s="13" t="s">
        <v>187</v>
      </c>
      <c r="C72" s="164" t="s">
        <v>375</v>
      </c>
      <c r="D72" s="165"/>
      <c r="E72" s="165"/>
      <c r="F72" s="165"/>
      <c r="G72" s="13" t="s">
        <v>541</v>
      </c>
      <c r="H72" s="21">
        <v>15</v>
      </c>
      <c r="I72" s="26">
        <v>0</v>
      </c>
      <c r="J72" s="21">
        <f>H72*AO72</f>
        <v>0</v>
      </c>
      <c r="K72" s="21">
        <f>H72*AP72</f>
        <v>0</v>
      </c>
      <c r="L72" s="21">
        <f>H72*I72</f>
        <v>0</v>
      </c>
      <c r="M72" s="104" t="s">
        <v>763</v>
      </c>
      <c r="N72" s="5"/>
      <c r="Z72" s="38">
        <f>IF(AQ72="5",BJ72,0)</f>
        <v>0</v>
      </c>
      <c r="AB72" s="38">
        <f>IF(AQ72="1",BH72,0)</f>
        <v>0</v>
      </c>
      <c r="AC72" s="38">
        <f>IF(AQ72="1",BI72,0)</f>
        <v>0</v>
      </c>
      <c r="AD72" s="38">
        <f>IF(AQ72="7",BH72,0)</f>
        <v>0</v>
      </c>
      <c r="AE72" s="38">
        <f>IF(AQ72="7",BI72,0)</f>
        <v>0</v>
      </c>
      <c r="AF72" s="38">
        <f>IF(AQ72="2",BH72,0)</f>
        <v>0</v>
      </c>
      <c r="AG72" s="38">
        <f>IF(AQ72="2",BI72,0)</f>
        <v>0</v>
      </c>
      <c r="AH72" s="38">
        <f>IF(AQ72="0",BJ72,0)</f>
        <v>0</v>
      </c>
      <c r="AI72" s="37"/>
      <c r="AJ72" s="21">
        <f>IF(AN72=0,L72,0)</f>
        <v>0</v>
      </c>
      <c r="AK72" s="21">
        <f>IF(AN72=12,L72,0)</f>
        <v>0</v>
      </c>
      <c r="AL72" s="21">
        <f>IF(AN72=21,L72,0)</f>
        <v>0</v>
      </c>
      <c r="AN72" s="38">
        <v>12</v>
      </c>
      <c r="AO72" s="38">
        <f>I72*0.402259933099453</f>
        <v>0</v>
      </c>
      <c r="AP72" s="38">
        <f>I72*(1-0.402259933099453)</f>
        <v>0</v>
      </c>
      <c r="AQ72" s="39" t="s">
        <v>13</v>
      </c>
      <c r="AV72" s="38">
        <f>AW72+AX72</f>
        <v>0</v>
      </c>
      <c r="AW72" s="38">
        <f>H72*AO72</f>
        <v>0</v>
      </c>
      <c r="AX72" s="38">
        <f>H72*AP72</f>
        <v>0</v>
      </c>
      <c r="AY72" s="41" t="s">
        <v>586</v>
      </c>
      <c r="AZ72" s="41" t="s">
        <v>611</v>
      </c>
      <c r="BA72" s="37" t="s">
        <v>616</v>
      </c>
      <c r="BC72" s="38">
        <f>AW72+AX72</f>
        <v>0</v>
      </c>
      <c r="BD72" s="38">
        <f>I72/(100-BE72)*100</f>
        <v>0</v>
      </c>
      <c r="BE72" s="38">
        <v>0</v>
      </c>
      <c r="BF72" s="38">
        <f>72</f>
        <v>72</v>
      </c>
      <c r="BH72" s="21">
        <f>H72*AO72</f>
        <v>0</v>
      </c>
      <c r="BI72" s="21">
        <f>H72*AP72</f>
        <v>0</v>
      </c>
      <c r="BJ72" s="21">
        <f>H72*I72</f>
        <v>0</v>
      </c>
      <c r="BK72" s="21" t="s">
        <v>621</v>
      </c>
      <c r="BL72" s="38">
        <v>762</v>
      </c>
    </row>
    <row r="73" spans="1:64" x14ac:dyDescent="0.2">
      <c r="A73" s="5"/>
      <c r="B73" s="14" t="s">
        <v>155</v>
      </c>
      <c r="C73" s="168" t="s">
        <v>376</v>
      </c>
      <c r="D73" s="169"/>
      <c r="E73" s="169"/>
      <c r="F73" s="169"/>
      <c r="G73" s="169"/>
      <c r="H73" s="169"/>
      <c r="I73" s="170"/>
      <c r="J73" s="169"/>
      <c r="K73" s="169"/>
      <c r="L73" s="169"/>
      <c r="M73" s="171"/>
      <c r="N73" s="5"/>
    </row>
    <row r="74" spans="1:64" x14ac:dyDescent="0.2">
      <c r="A74" s="4" t="s">
        <v>36</v>
      </c>
      <c r="B74" s="13" t="s">
        <v>188</v>
      </c>
      <c r="C74" s="164" t="s">
        <v>377</v>
      </c>
      <c r="D74" s="165"/>
      <c r="E74" s="165"/>
      <c r="F74" s="165"/>
      <c r="G74" s="13" t="s">
        <v>537</v>
      </c>
      <c r="H74" s="21">
        <v>63</v>
      </c>
      <c r="I74" s="26">
        <v>0</v>
      </c>
      <c r="J74" s="21">
        <f>H74*AO74</f>
        <v>0</v>
      </c>
      <c r="K74" s="21">
        <f>H74*AP74</f>
        <v>0</v>
      </c>
      <c r="L74" s="21">
        <f>H74*I74</f>
        <v>0</v>
      </c>
      <c r="M74" s="104" t="s">
        <v>763</v>
      </c>
      <c r="N74" s="5"/>
      <c r="Z74" s="38">
        <f>IF(AQ74="5",BJ74,0)</f>
        <v>0</v>
      </c>
      <c r="AB74" s="38">
        <f>IF(AQ74="1",BH74,0)</f>
        <v>0</v>
      </c>
      <c r="AC74" s="38">
        <f>IF(AQ74="1",BI74,0)</f>
        <v>0</v>
      </c>
      <c r="AD74" s="38">
        <f>IF(AQ74="7",BH74,0)</f>
        <v>0</v>
      </c>
      <c r="AE74" s="38">
        <f>IF(AQ74="7",BI74,0)</f>
        <v>0</v>
      </c>
      <c r="AF74" s="38">
        <f>IF(AQ74="2",BH74,0)</f>
        <v>0</v>
      </c>
      <c r="AG74" s="38">
        <f>IF(AQ74="2",BI74,0)</f>
        <v>0</v>
      </c>
      <c r="AH74" s="38">
        <f>IF(AQ74="0",BJ74,0)</f>
        <v>0</v>
      </c>
      <c r="AI74" s="37"/>
      <c r="AJ74" s="21">
        <f>IF(AN74=0,L74,0)</f>
        <v>0</v>
      </c>
      <c r="AK74" s="21">
        <f>IF(AN74=12,L74,0)</f>
        <v>0</v>
      </c>
      <c r="AL74" s="21">
        <f>IF(AN74=21,L74,0)</f>
        <v>0</v>
      </c>
      <c r="AN74" s="38">
        <v>12</v>
      </c>
      <c r="AO74" s="38">
        <f>I74*0</f>
        <v>0</v>
      </c>
      <c r="AP74" s="38">
        <f>I74*(1-0)</f>
        <v>0</v>
      </c>
      <c r="AQ74" s="39" t="s">
        <v>13</v>
      </c>
      <c r="AV74" s="38">
        <f>AW74+AX74</f>
        <v>0</v>
      </c>
      <c r="AW74" s="38">
        <f>H74*AO74</f>
        <v>0</v>
      </c>
      <c r="AX74" s="38">
        <f>H74*AP74</f>
        <v>0</v>
      </c>
      <c r="AY74" s="41" t="s">
        <v>586</v>
      </c>
      <c r="AZ74" s="41" t="s">
        <v>611</v>
      </c>
      <c r="BA74" s="37" t="s">
        <v>616</v>
      </c>
      <c r="BC74" s="38">
        <f>AW74+AX74</f>
        <v>0</v>
      </c>
      <c r="BD74" s="38">
        <f>I74/(100-BE74)*100</f>
        <v>0</v>
      </c>
      <c r="BE74" s="38">
        <v>0</v>
      </c>
      <c r="BF74" s="38">
        <f>74</f>
        <v>74</v>
      </c>
      <c r="BH74" s="21">
        <f>H74*AO74</f>
        <v>0</v>
      </c>
      <c r="BI74" s="21">
        <f>H74*AP74</f>
        <v>0</v>
      </c>
      <c r="BJ74" s="21">
        <f>H74*I74</f>
        <v>0</v>
      </c>
      <c r="BK74" s="21" t="s">
        <v>621</v>
      </c>
      <c r="BL74" s="38">
        <v>762</v>
      </c>
    </row>
    <row r="75" spans="1:64" x14ac:dyDescent="0.2">
      <c r="A75" s="4" t="s">
        <v>37</v>
      </c>
      <c r="B75" s="13" t="s">
        <v>189</v>
      </c>
      <c r="C75" s="164" t="s">
        <v>378</v>
      </c>
      <c r="D75" s="165"/>
      <c r="E75" s="165"/>
      <c r="F75" s="165"/>
      <c r="G75" s="13" t="s">
        <v>541</v>
      </c>
      <c r="H75" s="21">
        <v>25</v>
      </c>
      <c r="I75" s="26">
        <v>0</v>
      </c>
      <c r="J75" s="21">
        <f>H75*AO75</f>
        <v>0</v>
      </c>
      <c r="K75" s="21">
        <f>H75*AP75</f>
        <v>0</v>
      </c>
      <c r="L75" s="21">
        <f>H75*I75</f>
        <v>0</v>
      </c>
      <c r="M75" s="102" t="s">
        <v>764</v>
      </c>
      <c r="N75" s="5"/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37"/>
      <c r="AJ75" s="21">
        <f>IF(AN75=0,L75,0)</f>
        <v>0</v>
      </c>
      <c r="AK75" s="21">
        <f>IF(AN75=12,L75,0)</f>
        <v>0</v>
      </c>
      <c r="AL75" s="21">
        <f>IF(AN75=21,L75,0)</f>
        <v>0</v>
      </c>
      <c r="AN75" s="38">
        <v>12</v>
      </c>
      <c r="AO75" s="38">
        <f>I75*0.515826825964471</f>
        <v>0</v>
      </c>
      <c r="AP75" s="38">
        <f>I75*(1-0.515826825964471)</f>
        <v>0</v>
      </c>
      <c r="AQ75" s="39" t="s">
        <v>13</v>
      </c>
      <c r="AV75" s="38">
        <f>AW75+AX75</f>
        <v>0</v>
      </c>
      <c r="AW75" s="38">
        <f>H75*AO75</f>
        <v>0</v>
      </c>
      <c r="AX75" s="38">
        <f>H75*AP75</f>
        <v>0</v>
      </c>
      <c r="AY75" s="41" t="s">
        <v>586</v>
      </c>
      <c r="AZ75" s="41" t="s">
        <v>611</v>
      </c>
      <c r="BA75" s="37" t="s">
        <v>616</v>
      </c>
      <c r="BC75" s="38">
        <f>AW75+AX75</f>
        <v>0</v>
      </c>
      <c r="BD75" s="38">
        <f>I75/(100-BE75)*100</f>
        <v>0</v>
      </c>
      <c r="BE75" s="38">
        <v>0</v>
      </c>
      <c r="BF75" s="38">
        <f>75</f>
        <v>75</v>
      </c>
      <c r="BH75" s="21">
        <f>H75*AO75</f>
        <v>0</v>
      </c>
      <c r="BI75" s="21">
        <f>H75*AP75</f>
        <v>0</v>
      </c>
      <c r="BJ75" s="21">
        <f>H75*I75</f>
        <v>0</v>
      </c>
      <c r="BK75" s="21" t="s">
        <v>621</v>
      </c>
      <c r="BL75" s="38">
        <v>762</v>
      </c>
    </row>
    <row r="76" spans="1:64" x14ac:dyDescent="0.2">
      <c r="A76" s="5"/>
      <c r="B76" s="14" t="s">
        <v>155</v>
      </c>
      <c r="C76" s="168" t="s">
        <v>379</v>
      </c>
      <c r="D76" s="169"/>
      <c r="E76" s="169"/>
      <c r="F76" s="169"/>
      <c r="G76" s="169"/>
      <c r="H76" s="169"/>
      <c r="I76" s="170"/>
      <c r="J76" s="169"/>
      <c r="K76" s="169"/>
      <c r="L76" s="169"/>
      <c r="M76" s="171"/>
      <c r="N76" s="5"/>
    </row>
    <row r="77" spans="1:64" x14ac:dyDescent="0.2">
      <c r="A77" s="6"/>
      <c r="B77" s="15" t="s">
        <v>190</v>
      </c>
      <c r="C77" s="166" t="s">
        <v>380</v>
      </c>
      <c r="D77" s="167"/>
      <c r="E77" s="167"/>
      <c r="F77" s="167"/>
      <c r="G77" s="19" t="s">
        <v>6</v>
      </c>
      <c r="H77" s="19" t="s">
        <v>6</v>
      </c>
      <c r="I77" s="27" t="s">
        <v>6</v>
      </c>
      <c r="J77" s="44">
        <f>SUM(J78:J79)</f>
        <v>0</v>
      </c>
      <c r="K77" s="44">
        <f>SUM(K78:K79)</f>
        <v>0</v>
      </c>
      <c r="L77" s="44">
        <f>SUM(L78:L79)</f>
        <v>0</v>
      </c>
      <c r="M77" s="103"/>
      <c r="N77" s="5"/>
      <c r="AI77" s="37"/>
      <c r="AS77" s="44">
        <f>SUM(AJ78:AJ79)</f>
        <v>0</v>
      </c>
      <c r="AT77" s="44">
        <f>SUM(AK78:AK79)</f>
        <v>0</v>
      </c>
      <c r="AU77" s="44">
        <f>SUM(AL78:AL79)</f>
        <v>0</v>
      </c>
    </row>
    <row r="78" spans="1:64" x14ac:dyDescent="0.2">
      <c r="A78" s="4" t="s">
        <v>38</v>
      </c>
      <c r="B78" s="13" t="s">
        <v>191</v>
      </c>
      <c r="C78" s="164" t="s">
        <v>381</v>
      </c>
      <c r="D78" s="165"/>
      <c r="E78" s="165"/>
      <c r="F78" s="165"/>
      <c r="G78" s="13" t="s">
        <v>537</v>
      </c>
      <c r="H78" s="21">
        <v>3</v>
      </c>
      <c r="I78" s="26">
        <v>0</v>
      </c>
      <c r="J78" s="21">
        <f>H78*AO78</f>
        <v>0</v>
      </c>
      <c r="K78" s="21">
        <f>H78*AP78</f>
        <v>0</v>
      </c>
      <c r="L78" s="21">
        <f>H78*I78</f>
        <v>0</v>
      </c>
      <c r="M78" s="102" t="s">
        <v>763</v>
      </c>
      <c r="N78" s="5"/>
      <c r="Z78" s="38">
        <f>IF(AQ78="5",BJ78,0)</f>
        <v>0</v>
      </c>
      <c r="AB78" s="38">
        <f>IF(AQ78="1",BH78,0)</f>
        <v>0</v>
      </c>
      <c r="AC78" s="38">
        <f>IF(AQ78="1",BI78,0)</f>
        <v>0</v>
      </c>
      <c r="AD78" s="38">
        <f>IF(AQ78="7",BH78,0)</f>
        <v>0</v>
      </c>
      <c r="AE78" s="38">
        <f>IF(AQ78="7",BI78,0)</f>
        <v>0</v>
      </c>
      <c r="AF78" s="38">
        <f>IF(AQ78="2",BH78,0)</f>
        <v>0</v>
      </c>
      <c r="AG78" s="38">
        <f>IF(AQ78="2",BI78,0)</f>
        <v>0</v>
      </c>
      <c r="AH78" s="38">
        <f>IF(AQ78="0",BJ78,0)</f>
        <v>0</v>
      </c>
      <c r="AI78" s="37"/>
      <c r="AJ78" s="21">
        <f>IF(AN78=0,L78,0)</f>
        <v>0</v>
      </c>
      <c r="AK78" s="21">
        <f>IF(AN78=12,L78,0)</f>
        <v>0</v>
      </c>
      <c r="AL78" s="21">
        <f>IF(AN78=21,L78,0)</f>
        <v>0</v>
      </c>
      <c r="AN78" s="38">
        <v>12</v>
      </c>
      <c r="AO78" s="38">
        <f>I78*0.638406504065041</f>
        <v>0</v>
      </c>
      <c r="AP78" s="38">
        <f>I78*(1-0.638406504065041)</f>
        <v>0</v>
      </c>
      <c r="AQ78" s="39" t="s">
        <v>13</v>
      </c>
      <c r="AV78" s="38">
        <f>AW78+AX78</f>
        <v>0</v>
      </c>
      <c r="AW78" s="38">
        <f>H78*AO78</f>
        <v>0</v>
      </c>
      <c r="AX78" s="38">
        <f>H78*AP78</f>
        <v>0</v>
      </c>
      <c r="AY78" s="41" t="s">
        <v>587</v>
      </c>
      <c r="AZ78" s="41" t="s">
        <v>611</v>
      </c>
      <c r="BA78" s="37" t="s">
        <v>616</v>
      </c>
      <c r="BC78" s="38">
        <f>AW78+AX78</f>
        <v>0</v>
      </c>
      <c r="BD78" s="38">
        <f>I78/(100-BE78)*100</f>
        <v>0</v>
      </c>
      <c r="BE78" s="38">
        <v>0</v>
      </c>
      <c r="BF78" s="38">
        <f>78</f>
        <v>78</v>
      </c>
      <c r="BH78" s="21">
        <f>H78*AO78</f>
        <v>0</v>
      </c>
      <c r="BI78" s="21">
        <f>H78*AP78</f>
        <v>0</v>
      </c>
      <c r="BJ78" s="21">
        <f>H78*I78</f>
        <v>0</v>
      </c>
      <c r="BK78" s="21" t="s">
        <v>621</v>
      </c>
      <c r="BL78" s="38">
        <v>764</v>
      </c>
    </row>
    <row r="79" spans="1:64" x14ac:dyDescent="0.2">
      <c r="A79" s="4" t="s">
        <v>39</v>
      </c>
      <c r="B79" s="13" t="s">
        <v>192</v>
      </c>
      <c r="C79" s="164" t="s">
        <v>382</v>
      </c>
      <c r="D79" s="165"/>
      <c r="E79" s="165"/>
      <c r="F79" s="165"/>
      <c r="G79" s="13" t="s">
        <v>540</v>
      </c>
      <c r="H79" s="21">
        <v>2</v>
      </c>
      <c r="I79" s="26">
        <v>0</v>
      </c>
      <c r="J79" s="21">
        <f>H79*AO79</f>
        <v>0</v>
      </c>
      <c r="K79" s="21">
        <f>H79*AP79</f>
        <v>0</v>
      </c>
      <c r="L79" s="21">
        <f>H79*I79</f>
        <v>0</v>
      </c>
      <c r="M79" s="102" t="s">
        <v>763</v>
      </c>
      <c r="N79" s="5"/>
      <c r="Z79" s="38">
        <f>IF(AQ79="5",BJ79,0)</f>
        <v>0</v>
      </c>
      <c r="AB79" s="38">
        <f>IF(AQ79="1",BH79,0)</f>
        <v>0</v>
      </c>
      <c r="AC79" s="38">
        <f>IF(AQ79="1",BI79,0)</f>
        <v>0</v>
      </c>
      <c r="AD79" s="38">
        <f>IF(AQ79="7",BH79,0)</f>
        <v>0</v>
      </c>
      <c r="AE79" s="38">
        <f>IF(AQ79="7",BI79,0)</f>
        <v>0</v>
      </c>
      <c r="AF79" s="38">
        <f>IF(AQ79="2",BH79,0)</f>
        <v>0</v>
      </c>
      <c r="AG79" s="38">
        <f>IF(AQ79="2",BI79,0)</f>
        <v>0</v>
      </c>
      <c r="AH79" s="38">
        <f>IF(AQ79="0",BJ79,0)</f>
        <v>0</v>
      </c>
      <c r="AI79" s="37"/>
      <c r="AJ79" s="21">
        <f>IF(AN79=0,L79,0)</f>
        <v>0</v>
      </c>
      <c r="AK79" s="21">
        <f>IF(AN79=12,L79,0)</f>
        <v>0</v>
      </c>
      <c r="AL79" s="21">
        <f>IF(AN79=21,L79,0)</f>
        <v>0</v>
      </c>
      <c r="AN79" s="38">
        <v>12</v>
      </c>
      <c r="AO79" s="38">
        <f>I79*0.758034934497817</f>
        <v>0</v>
      </c>
      <c r="AP79" s="38">
        <f>I79*(1-0.758034934497817)</f>
        <v>0</v>
      </c>
      <c r="AQ79" s="39" t="s">
        <v>13</v>
      </c>
      <c r="AV79" s="38">
        <f>AW79+AX79</f>
        <v>0</v>
      </c>
      <c r="AW79" s="38">
        <f>H79*AO79</f>
        <v>0</v>
      </c>
      <c r="AX79" s="38">
        <f>H79*AP79</f>
        <v>0</v>
      </c>
      <c r="AY79" s="41" t="s">
        <v>587</v>
      </c>
      <c r="AZ79" s="41" t="s">
        <v>611</v>
      </c>
      <c r="BA79" s="37" t="s">
        <v>616</v>
      </c>
      <c r="BC79" s="38">
        <f>AW79+AX79</f>
        <v>0</v>
      </c>
      <c r="BD79" s="38">
        <f>I79/(100-BE79)*100</f>
        <v>0</v>
      </c>
      <c r="BE79" s="38">
        <v>0</v>
      </c>
      <c r="BF79" s="38">
        <f>79</f>
        <v>79</v>
      </c>
      <c r="BH79" s="21">
        <f>H79*AO79</f>
        <v>0</v>
      </c>
      <c r="BI79" s="21">
        <f>H79*AP79</f>
        <v>0</v>
      </c>
      <c r="BJ79" s="21">
        <f>H79*I79</f>
        <v>0</v>
      </c>
      <c r="BK79" s="21" t="s">
        <v>621</v>
      </c>
      <c r="BL79" s="38">
        <v>764</v>
      </c>
    </row>
    <row r="80" spans="1:64" x14ac:dyDescent="0.2">
      <c r="A80" s="6"/>
      <c r="B80" s="15" t="s">
        <v>193</v>
      </c>
      <c r="C80" s="166" t="s">
        <v>383</v>
      </c>
      <c r="D80" s="167"/>
      <c r="E80" s="167"/>
      <c r="F80" s="167"/>
      <c r="G80" s="19" t="s">
        <v>6</v>
      </c>
      <c r="H80" s="19" t="s">
        <v>6</v>
      </c>
      <c r="I80" s="27" t="s">
        <v>6</v>
      </c>
      <c r="J80" s="44">
        <f>SUM(J81:J81)</f>
        <v>0</v>
      </c>
      <c r="K80" s="44">
        <f>SUM(K81:K81)</f>
        <v>0</v>
      </c>
      <c r="L80" s="44">
        <f>SUM(L81:L81)</f>
        <v>0</v>
      </c>
      <c r="M80" s="103"/>
      <c r="N80" s="5"/>
      <c r="AI80" s="37"/>
      <c r="AS80" s="44">
        <f>SUM(AJ81:AJ81)</f>
        <v>0</v>
      </c>
      <c r="AT80" s="44">
        <f>SUM(AK81:AK81)</f>
        <v>0</v>
      </c>
      <c r="AU80" s="44">
        <f>SUM(AL81:AL81)</f>
        <v>0</v>
      </c>
    </row>
    <row r="81" spans="1:64" x14ac:dyDescent="0.2">
      <c r="A81" s="4" t="s">
        <v>40</v>
      </c>
      <c r="B81" s="13" t="s">
        <v>194</v>
      </c>
      <c r="C81" s="164" t="s">
        <v>384</v>
      </c>
      <c r="D81" s="165"/>
      <c r="E81" s="165"/>
      <c r="F81" s="165"/>
      <c r="G81" s="13" t="s">
        <v>541</v>
      </c>
      <c r="H81" s="21">
        <v>9</v>
      </c>
      <c r="I81" s="26">
        <v>0</v>
      </c>
      <c r="J81" s="21">
        <f>H81*AO81</f>
        <v>0</v>
      </c>
      <c r="K81" s="21">
        <f>H81*AP81</f>
        <v>0</v>
      </c>
      <c r="L81" s="21">
        <f>H81*I81</f>
        <v>0</v>
      </c>
      <c r="M81" s="102" t="s">
        <v>764</v>
      </c>
      <c r="N81" s="5"/>
      <c r="Z81" s="38">
        <f>IF(AQ81="5",BJ81,0)</f>
        <v>0</v>
      </c>
      <c r="AB81" s="38">
        <f>IF(AQ81="1",BH81,0)</f>
        <v>0</v>
      </c>
      <c r="AC81" s="38">
        <f>IF(AQ81="1",BI81,0)</f>
        <v>0</v>
      </c>
      <c r="AD81" s="38">
        <f>IF(AQ81="7",BH81,0)</f>
        <v>0</v>
      </c>
      <c r="AE81" s="38">
        <f>IF(AQ81="7",BI81,0)</f>
        <v>0</v>
      </c>
      <c r="AF81" s="38">
        <f>IF(AQ81="2",BH81,0)</f>
        <v>0</v>
      </c>
      <c r="AG81" s="38">
        <f>IF(AQ81="2",BI81,0)</f>
        <v>0</v>
      </c>
      <c r="AH81" s="38">
        <f>IF(AQ81="0",BJ81,0)</f>
        <v>0</v>
      </c>
      <c r="AI81" s="37"/>
      <c r="AJ81" s="21">
        <f>IF(AN81=0,L81,0)</f>
        <v>0</v>
      </c>
      <c r="AK81" s="21">
        <f>IF(AN81=12,L81,0)</f>
        <v>0</v>
      </c>
      <c r="AL81" s="21">
        <f>IF(AN81=21,L81,0)</f>
        <v>0</v>
      </c>
      <c r="AN81" s="38">
        <v>12</v>
      </c>
      <c r="AO81" s="38">
        <f>I81*0</f>
        <v>0</v>
      </c>
      <c r="AP81" s="38">
        <f>I81*(1-0)</f>
        <v>0</v>
      </c>
      <c r="AQ81" s="39" t="s">
        <v>13</v>
      </c>
      <c r="AV81" s="38">
        <f>AW81+AX81</f>
        <v>0</v>
      </c>
      <c r="AW81" s="38">
        <f>H81*AO81</f>
        <v>0</v>
      </c>
      <c r="AX81" s="38">
        <f>H81*AP81</f>
        <v>0</v>
      </c>
      <c r="AY81" s="41" t="s">
        <v>588</v>
      </c>
      <c r="AZ81" s="41" t="s">
        <v>611</v>
      </c>
      <c r="BA81" s="37" t="s">
        <v>616</v>
      </c>
      <c r="BC81" s="38">
        <f>AW81+AX81</f>
        <v>0</v>
      </c>
      <c r="BD81" s="38">
        <f>I81/(100-BE81)*100</f>
        <v>0</v>
      </c>
      <c r="BE81" s="38">
        <v>0</v>
      </c>
      <c r="BF81" s="38">
        <f>81</f>
        <v>81</v>
      </c>
      <c r="BH81" s="21">
        <f>H81*AO81</f>
        <v>0</v>
      </c>
      <c r="BI81" s="21">
        <f>H81*AP81</f>
        <v>0</v>
      </c>
      <c r="BJ81" s="21">
        <f>H81*I81</f>
        <v>0</v>
      </c>
      <c r="BK81" s="21" t="s">
        <v>621</v>
      </c>
      <c r="BL81" s="38">
        <v>766</v>
      </c>
    </row>
    <row r="82" spans="1:64" x14ac:dyDescent="0.2">
      <c r="A82" s="6"/>
      <c r="B82" s="15" t="s">
        <v>195</v>
      </c>
      <c r="C82" s="166" t="s">
        <v>385</v>
      </c>
      <c r="D82" s="167"/>
      <c r="E82" s="167"/>
      <c r="F82" s="167"/>
      <c r="G82" s="19" t="s">
        <v>6</v>
      </c>
      <c r="H82" s="19" t="s">
        <v>6</v>
      </c>
      <c r="I82" s="27" t="s">
        <v>6</v>
      </c>
      <c r="J82" s="44">
        <f>SUM(J83:J83)</f>
        <v>0</v>
      </c>
      <c r="K82" s="44">
        <f>SUM(K83:K83)</f>
        <v>0</v>
      </c>
      <c r="L82" s="44">
        <f>SUM(L83:L83)</f>
        <v>0</v>
      </c>
      <c r="M82" s="103"/>
      <c r="N82" s="5"/>
      <c r="AI82" s="37"/>
      <c r="AS82" s="44">
        <f>SUM(AJ83:AJ83)</f>
        <v>0</v>
      </c>
      <c r="AT82" s="44">
        <f>SUM(AK83:AK83)</f>
        <v>0</v>
      </c>
      <c r="AU82" s="44">
        <f>SUM(AL83:AL83)</f>
        <v>0</v>
      </c>
    </row>
    <row r="83" spans="1:64" x14ac:dyDescent="0.2">
      <c r="A83" s="4" t="s">
        <v>41</v>
      </c>
      <c r="B83" s="13" t="s">
        <v>196</v>
      </c>
      <c r="C83" s="164" t="s">
        <v>386</v>
      </c>
      <c r="D83" s="165"/>
      <c r="E83" s="165"/>
      <c r="F83" s="165"/>
      <c r="G83" s="13" t="s">
        <v>537</v>
      </c>
      <c r="H83" s="21">
        <v>1.7</v>
      </c>
      <c r="I83" s="26">
        <v>0</v>
      </c>
      <c r="J83" s="21">
        <f>H83*AO83</f>
        <v>0</v>
      </c>
      <c r="K83" s="21">
        <f>H83*AP83</f>
        <v>0</v>
      </c>
      <c r="L83" s="21">
        <f>H83*I83</f>
        <v>0</v>
      </c>
      <c r="M83" s="102" t="s">
        <v>764</v>
      </c>
      <c r="N83" s="5"/>
      <c r="Z83" s="38">
        <f>IF(AQ83="5",BJ83,0)</f>
        <v>0</v>
      </c>
      <c r="AB83" s="38">
        <f>IF(AQ83="1",BH83,0)</f>
        <v>0</v>
      </c>
      <c r="AC83" s="38">
        <f>IF(AQ83="1",BI83,0)</f>
        <v>0</v>
      </c>
      <c r="AD83" s="38">
        <f>IF(AQ83="7",BH83,0)</f>
        <v>0</v>
      </c>
      <c r="AE83" s="38">
        <f>IF(AQ83="7",BI83,0)</f>
        <v>0</v>
      </c>
      <c r="AF83" s="38">
        <f>IF(AQ83="2",BH83,0)</f>
        <v>0</v>
      </c>
      <c r="AG83" s="38">
        <f>IF(AQ83="2",BI83,0)</f>
        <v>0</v>
      </c>
      <c r="AH83" s="38">
        <f>IF(AQ83="0",BJ83,0)</f>
        <v>0</v>
      </c>
      <c r="AI83" s="37"/>
      <c r="AJ83" s="21">
        <f>IF(AN83=0,L83,0)</f>
        <v>0</v>
      </c>
      <c r="AK83" s="21">
        <f>IF(AN83=12,L83,0)</f>
        <v>0</v>
      </c>
      <c r="AL83" s="21">
        <f>IF(AN83=21,L83,0)</f>
        <v>0</v>
      </c>
      <c r="AN83" s="38">
        <v>12</v>
      </c>
      <c r="AO83" s="38">
        <f>I83*0.0482169578930405</f>
        <v>0</v>
      </c>
      <c r="AP83" s="38">
        <f>I83*(1-0.0482169578930405)</f>
        <v>0</v>
      </c>
      <c r="AQ83" s="39" t="s">
        <v>13</v>
      </c>
      <c r="AV83" s="38">
        <f>AW83+AX83</f>
        <v>0</v>
      </c>
      <c r="AW83" s="38">
        <f>H83*AO83</f>
        <v>0</v>
      </c>
      <c r="AX83" s="38">
        <f>H83*AP83</f>
        <v>0</v>
      </c>
      <c r="AY83" s="41" t="s">
        <v>589</v>
      </c>
      <c r="AZ83" s="41" t="s">
        <v>611</v>
      </c>
      <c r="BA83" s="37" t="s">
        <v>616</v>
      </c>
      <c r="BC83" s="38">
        <f>AW83+AX83</f>
        <v>0</v>
      </c>
      <c r="BD83" s="38">
        <f>I83/(100-BE83)*100</f>
        <v>0</v>
      </c>
      <c r="BE83" s="38">
        <v>0</v>
      </c>
      <c r="BF83" s="38">
        <f>83</f>
        <v>83</v>
      </c>
      <c r="BH83" s="21">
        <f>H83*AO83</f>
        <v>0</v>
      </c>
      <c r="BI83" s="21">
        <f>H83*AP83</f>
        <v>0</v>
      </c>
      <c r="BJ83" s="21">
        <f>H83*I83</f>
        <v>0</v>
      </c>
      <c r="BK83" s="21" t="s">
        <v>621</v>
      </c>
      <c r="BL83" s="38">
        <v>767</v>
      </c>
    </row>
    <row r="84" spans="1:64" ht="25.7" customHeight="1" x14ac:dyDescent="0.2">
      <c r="A84" s="5"/>
      <c r="B84" s="14" t="s">
        <v>155</v>
      </c>
      <c r="C84" s="168" t="s">
        <v>387</v>
      </c>
      <c r="D84" s="169"/>
      <c r="E84" s="169"/>
      <c r="F84" s="169"/>
      <c r="G84" s="169"/>
      <c r="H84" s="169"/>
      <c r="I84" s="170"/>
      <c r="J84" s="169"/>
      <c r="K84" s="169"/>
      <c r="L84" s="169"/>
      <c r="M84" s="171"/>
      <c r="N84" s="5"/>
    </row>
    <row r="85" spans="1:64" x14ac:dyDescent="0.2">
      <c r="A85" s="6"/>
      <c r="B85" s="15" t="s">
        <v>197</v>
      </c>
      <c r="C85" s="166" t="s">
        <v>388</v>
      </c>
      <c r="D85" s="167"/>
      <c r="E85" s="167"/>
      <c r="F85" s="167"/>
      <c r="G85" s="19" t="s">
        <v>6</v>
      </c>
      <c r="H85" s="19" t="s">
        <v>6</v>
      </c>
      <c r="I85" s="27" t="s">
        <v>6</v>
      </c>
      <c r="J85" s="44">
        <f>SUM(J86:J86)</f>
        <v>0</v>
      </c>
      <c r="K85" s="44">
        <f>SUM(K86:K86)</f>
        <v>0</v>
      </c>
      <c r="L85" s="44">
        <f>SUM(L86:L86)</f>
        <v>0</v>
      </c>
      <c r="M85" s="103"/>
      <c r="N85" s="5"/>
      <c r="AI85" s="37"/>
      <c r="AS85" s="44">
        <f>SUM(AJ86:AJ86)</f>
        <v>0</v>
      </c>
      <c r="AT85" s="44">
        <f>SUM(AK86:AK86)</f>
        <v>0</v>
      </c>
      <c r="AU85" s="44">
        <f>SUM(AL86:AL86)</f>
        <v>0</v>
      </c>
    </row>
    <row r="86" spans="1:64" x14ac:dyDescent="0.2">
      <c r="A86" s="4" t="s">
        <v>42</v>
      </c>
      <c r="B86" s="13" t="s">
        <v>198</v>
      </c>
      <c r="C86" s="164" t="s">
        <v>389</v>
      </c>
      <c r="D86" s="165"/>
      <c r="E86" s="165"/>
      <c r="F86" s="165"/>
      <c r="G86" s="13" t="s">
        <v>541</v>
      </c>
      <c r="H86" s="21">
        <v>215.4</v>
      </c>
      <c r="I86" s="26">
        <v>0</v>
      </c>
      <c r="J86" s="21">
        <f>H86*AO86</f>
        <v>0</v>
      </c>
      <c r="K86" s="21">
        <f>H86*AP86</f>
        <v>0</v>
      </c>
      <c r="L86" s="21">
        <f>H86*I86</f>
        <v>0</v>
      </c>
      <c r="M86" s="102" t="s">
        <v>763</v>
      </c>
      <c r="N86" s="5"/>
      <c r="Z86" s="38">
        <f>IF(AQ86="5",BJ86,0)</f>
        <v>0</v>
      </c>
      <c r="AB86" s="38">
        <f>IF(AQ86="1",BH86,0)</f>
        <v>0</v>
      </c>
      <c r="AC86" s="38">
        <f>IF(AQ86="1",BI86,0)</f>
        <v>0</v>
      </c>
      <c r="AD86" s="38">
        <f>IF(AQ86="7",BH86,0)</f>
        <v>0</v>
      </c>
      <c r="AE86" s="38">
        <f>IF(AQ86="7",BI86,0)</f>
        <v>0</v>
      </c>
      <c r="AF86" s="38">
        <f>IF(AQ86="2",BH86,0)</f>
        <v>0</v>
      </c>
      <c r="AG86" s="38">
        <f>IF(AQ86="2",BI86,0)</f>
        <v>0</v>
      </c>
      <c r="AH86" s="38">
        <f>IF(AQ86="0",BJ86,0)</f>
        <v>0</v>
      </c>
      <c r="AI86" s="37"/>
      <c r="AJ86" s="21">
        <f>IF(AN86=0,L86,0)</f>
        <v>0</v>
      </c>
      <c r="AK86" s="21">
        <f>IF(AN86=12,L86,0)</f>
        <v>0</v>
      </c>
      <c r="AL86" s="21">
        <f>IF(AN86=21,L86,0)</f>
        <v>0</v>
      </c>
      <c r="AN86" s="38">
        <v>12</v>
      </c>
      <c r="AO86" s="38">
        <f>I86*0.506653992395437</f>
        <v>0</v>
      </c>
      <c r="AP86" s="38">
        <f>I86*(1-0.506653992395437)</f>
        <v>0</v>
      </c>
      <c r="AQ86" s="39" t="s">
        <v>13</v>
      </c>
      <c r="AV86" s="38">
        <f>AW86+AX86</f>
        <v>0</v>
      </c>
      <c r="AW86" s="38">
        <f>H86*AO86</f>
        <v>0</v>
      </c>
      <c r="AX86" s="38">
        <f>H86*AP86</f>
        <v>0</v>
      </c>
      <c r="AY86" s="41" t="s">
        <v>590</v>
      </c>
      <c r="AZ86" s="41" t="s">
        <v>612</v>
      </c>
      <c r="BA86" s="37" t="s">
        <v>616</v>
      </c>
      <c r="BC86" s="38">
        <f>AW86+AX86</f>
        <v>0</v>
      </c>
      <c r="BD86" s="38">
        <f>I86/(100-BE86)*100</f>
        <v>0</v>
      </c>
      <c r="BE86" s="38">
        <v>0</v>
      </c>
      <c r="BF86" s="38">
        <f>86</f>
        <v>86</v>
      </c>
      <c r="BH86" s="21">
        <f>H86*AO86</f>
        <v>0</v>
      </c>
      <c r="BI86" s="21">
        <f>H86*AP86</f>
        <v>0</v>
      </c>
      <c r="BJ86" s="21">
        <f>H86*I86</f>
        <v>0</v>
      </c>
      <c r="BK86" s="21" t="s">
        <v>621</v>
      </c>
      <c r="BL86" s="38">
        <v>771</v>
      </c>
    </row>
    <row r="87" spans="1:64" x14ac:dyDescent="0.2">
      <c r="A87" s="5"/>
      <c r="B87" s="14" t="s">
        <v>155</v>
      </c>
      <c r="C87" s="168" t="s">
        <v>390</v>
      </c>
      <c r="D87" s="169"/>
      <c r="E87" s="169"/>
      <c r="F87" s="169"/>
      <c r="G87" s="169"/>
      <c r="H87" s="169"/>
      <c r="I87" s="170"/>
      <c r="J87" s="169"/>
      <c r="K87" s="169"/>
      <c r="L87" s="169"/>
      <c r="M87" s="171"/>
      <c r="N87" s="5"/>
    </row>
    <row r="88" spans="1:64" x14ac:dyDescent="0.2">
      <c r="A88" s="6"/>
      <c r="B88" s="15" t="s">
        <v>199</v>
      </c>
      <c r="C88" s="166" t="s">
        <v>391</v>
      </c>
      <c r="D88" s="167"/>
      <c r="E88" s="167"/>
      <c r="F88" s="167"/>
      <c r="G88" s="19" t="s">
        <v>6</v>
      </c>
      <c r="H88" s="19" t="s">
        <v>6</v>
      </c>
      <c r="I88" s="27" t="s">
        <v>6</v>
      </c>
      <c r="J88" s="44">
        <f>SUM(J89:J94)</f>
        <v>0</v>
      </c>
      <c r="K88" s="44">
        <f>SUM(K89:K94)</f>
        <v>0</v>
      </c>
      <c r="L88" s="44">
        <f>SUM(L89:L94)</f>
        <v>0</v>
      </c>
      <c r="M88" s="103"/>
      <c r="N88" s="5"/>
      <c r="AI88" s="37"/>
      <c r="AS88" s="44">
        <f>SUM(AJ89:AJ94)</f>
        <v>0</v>
      </c>
      <c r="AT88" s="44">
        <f>SUM(AK89:AK94)</f>
        <v>0</v>
      </c>
      <c r="AU88" s="44">
        <f>SUM(AL89:AL94)</f>
        <v>0</v>
      </c>
    </row>
    <row r="89" spans="1:64" x14ac:dyDescent="0.2">
      <c r="A89" s="4" t="s">
        <v>43</v>
      </c>
      <c r="B89" s="13" t="s">
        <v>200</v>
      </c>
      <c r="C89" s="164" t="s">
        <v>392</v>
      </c>
      <c r="D89" s="165"/>
      <c r="E89" s="165"/>
      <c r="F89" s="165"/>
      <c r="G89" s="13" t="s">
        <v>537</v>
      </c>
      <c r="H89" s="21">
        <v>186.9</v>
      </c>
      <c r="I89" s="26">
        <v>0</v>
      </c>
      <c r="J89" s="21">
        <f>H89*AO89</f>
        <v>0</v>
      </c>
      <c r="K89" s="21">
        <f>H89*AP89</f>
        <v>0</v>
      </c>
      <c r="L89" s="21">
        <f>H89*I89</f>
        <v>0</v>
      </c>
      <c r="M89" s="102" t="s">
        <v>763</v>
      </c>
      <c r="N89" s="5"/>
      <c r="Z89" s="38">
        <f>IF(AQ89="5",BJ89,0)</f>
        <v>0</v>
      </c>
      <c r="AB89" s="38">
        <f>IF(AQ89="1",BH89,0)</f>
        <v>0</v>
      </c>
      <c r="AC89" s="38">
        <f>IF(AQ89="1",BI89,0)</f>
        <v>0</v>
      </c>
      <c r="AD89" s="38">
        <f>IF(AQ89="7",BH89,0)</f>
        <v>0</v>
      </c>
      <c r="AE89" s="38">
        <f>IF(AQ89="7",BI89,0)</f>
        <v>0</v>
      </c>
      <c r="AF89" s="38">
        <f>IF(AQ89="2",BH89,0)</f>
        <v>0</v>
      </c>
      <c r="AG89" s="38">
        <f>IF(AQ89="2",BI89,0)</f>
        <v>0</v>
      </c>
      <c r="AH89" s="38">
        <f>IF(AQ89="0",BJ89,0)</f>
        <v>0</v>
      </c>
      <c r="AI89" s="37"/>
      <c r="AJ89" s="21">
        <f>IF(AN89=0,L89,0)</f>
        <v>0</v>
      </c>
      <c r="AK89" s="21">
        <f>IF(AN89=12,L89,0)</f>
        <v>0</v>
      </c>
      <c r="AL89" s="21">
        <f>IF(AN89=21,L89,0)</f>
        <v>0</v>
      </c>
      <c r="AN89" s="38">
        <v>12</v>
      </c>
      <c r="AO89" s="38">
        <f>I89*0.114925373134328</f>
        <v>0</v>
      </c>
      <c r="AP89" s="38">
        <f>I89*(1-0.114925373134328)</f>
        <v>0</v>
      </c>
      <c r="AQ89" s="39" t="s">
        <v>13</v>
      </c>
      <c r="AV89" s="38">
        <f>AW89+AX89</f>
        <v>0</v>
      </c>
      <c r="AW89" s="38">
        <f>H89*AO89</f>
        <v>0</v>
      </c>
      <c r="AX89" s="38">
        <f>H89*AP89</f>
        <v>0</v>
      </c>
      <c r="AY89" s="41" t="s">
        <v>591</v>
      </c>
      <c r="AZ89" s="41" t="s">
        <v>612</v>
      </c>
      <c r="BA89" s="37" t="s">
        <v>616</v>
      </c>
      <c r="BC89" s="38">
        <f>AW89+AX89</f>
        <v>0</v>
      </c>
      <c r="BD89" s="38">
        <f>I89/(100-BE89)*100</f>
        <v>0</v>
      </c>
      <c r="BE89" s="38">
        <v>0</v>
      </c>
      <c r="BF89" s="38">
        <f>89</f>
        <v>89</v>
      </c>
      <c r="BH89" s="21">
        <f>H89*AO89</f>
        <v>0</v>
      </c>
      <c r="BI89" s="21">
        <f>H89*AP89</f>
        <v>0</v>
      </c>
      <c r="BJ89" s="21">
        <f>H89*I89</f>
        <v>0</v>
      </c>
      <c r="BK89" s="21" t="s">
        <v>621</v>
      </c>
      <c r="BL89" s="38">
        <v>776</v>
      </c>
    </row>
    <row r="90" spans="1:64" x14ac:dyDescent="0.2">
      <c r="A90" s="4" t="s">
        <v>44</v>
      </c>
      <c r="B90" s="13" t="s">
        <v>201</v>
      </c>
      <c r="C90" s="164" t="s">
        <v>393</v>
      </c>
      <c r="D90" s="165"/>
      <c r="E90" s="165"/>
      <c r="F90" s="165"/>
      <c r="G90" s="13" t="s">
        <v>541</v>
      </c>
      <c r="H90" s="21">
        <v>195.9</v>
      </c>
      <c r="I90" s="26">
        <v>0</v>
      </c>
      <c r="J90" s="21">
        <f>H90*AO90</f>
        <v>0</v>
      </c>
      <c r="K90" s="21">
        <f>H90*AP90</f>
        <v>0</v>
      </c>
      <c r="L90" s="21">
        <f>H90*I90</f>
        <v>0</v>
      </c>
      <c r="M90" s="102" t="s">
        <v>763</v>
      </c>
      <c r="N90" s="5"/>
      <c r="Z90" s="38">
        <f>IF(AQ90="5",BJ90,0)</f>
        <v>0</v>
      </c>
      <c r="AB90" s="38">
        <f>IF(AQ90="1",BH90,0)</f>
        <v>0</v>
      </c>
      <c r="AC90" s="38">
        <f>IF(AQ90="1",BI90,0)</f>
        <v>0</v>
      </c>
      <c r="AD90" s="38">
        <f>IF(AQ90="7",BH90,0)</f>
        <v>0</v>
      </c>
      <c r="AE90" s="38">
        <f>IF(AQ90="7",BI90,0)</f>
        <v>0</v>
      </c>
      <c r="AF90" s="38">
        <f>IF(AQ90="2",BH90,0)</f>
        <v>0</v>
      </c>
      <c r="AG90" s="38">
        <f>IF(AQ90="2",BI90,0)</f>
        <v>0</v>
      </c>
      <c r="AH90" s="38">
        <f>IF(AQ90="0",BJ90,0)</f>
        <v>0</v>
      </c>
      <c r="AI90" s="37"/>
      <c r="AJ90" s="21">
        <f>IF(AN90=0,L90,0)</f>
        <v>0</v>
      </c>
      <c r="AK90" s="21">
        <f>IF(AN90=12,L90,0)</f>
        <v>0</v>
      </c>
      <c r="AL90" s="21">
        <f>IF(AN90=21,L90,0)</f>
        <v>0</v>
      </c>
      <c r="AN90" s="38">
        <v>12</v>
      </c>
      <c r="AO90" s="38">
        <f>I90*0.712776299386795</f>
        <v>0</v>
      </c>
      <c r="AP90" s="38">
        <f>I90*(1-0.712776299386795)</f>
        <v>0</v>
      </c>
      <c r="AQ90" s="39" t="s">
        <v>13</v>
      </c>
      <c r="AV90" s="38">
        <f>AW90+AX90</f>
        <v>0</v>
      </c>
      <c r="AW90" s="38">
        <f>H90*AO90</f>
        <v>0</v>
      </c>
      <c r="AX90" s="38">
        <f>H90*AP90</f>
        <v>0</v>
      </c>
      <c r="AY90" s="41" t="s">
        <v>591</v>
      </c>
      <c r="AZ90" s="41" t="s">
        <v>612</v>
      </c>
      <c r="BA90" s="37" t="s">
        <v>616</v>
      </c>
      <c r="BC90" s="38">
        <f>AW90+AX90</f>
        <v>0</v>
      </c>
      <c r="BD90" s="38">
        <f>I90/(100-BE90)*100</f>
        <v>0</v>
      </c>
      <c r="BE90" s="38">
        <v>0</v>
      </c>
      <c r="BF90" s="38">
        <f>90</f>
        <v>90</v>
      </c>
      <c r="BH90" s="21">
        <f>H90*AO90</f>
        <v>0</v>
      </c>
      <c r="BI90" s="21">
        <f>H90*AP90</f>
        <v>0</v>
      </c>
      <c r="BJ90" s="21">
        <f>H90*I90</f>
        <v>0</v>
      </c>
      <c r="BK90" s="21" t="s">
        <v>621</v>
      </c>
      <c r="BL90" s="38">
        <v>776</v>
      </c>
    </row>
    <row r="91" spans="1:64" x14ac:dyDescent="0.2">
      <c r="A91" s="5"/>
      <c r="B91" s="14" t="s">
        <v>155</v>
      </c>
      <c r="C91" s="168" t="s">
        <v>394</v>
      </c>
      <c r="D91" s="169"/>
      <c r="E91" s="169"/>
      <c r="F91" s="169"/>
      <c r="G91" s="169"/>
      <c r="H91" s="169"/>
      <c r="I91" s="170"/>
      <c r="J91" s="169"/>
      <c r="K91" s="169"/>
      <c r="L91" s="169"/>
      <c r="M91" s="171"/>
      <c r="N91" s="5"/>
    </row>
    <row r="92" spans="1:64" x14ac:dyDescent="0.2">
      <c r="A92" s="4" t="s">
        <v>45</v>
      </c>
      <c r="B92" s="13" t="s">
        <v>202</v>
      </c>
      <c r="C92" s="164" t="s">
        <v>395</v>
      </c>
      <c r="D92" s="165"/>
      <c r="E92" s="165"/>
      <c r="F92" s="165"/>
      <c r="G92" s="13" t="s">
        <v>541</v>
      </c>
      <c r="H92" s="21">
        <v>215.4</v>
      </c>
      <c r="I92" s="26">
        <v>0</v>
      </c>
      <c r="J92" s="21">
        <f>H92*AO92</f>
        <v>0</v>
      </c>
      <c r="K92" s="21">
        <f>H92*AP92</f>
        <v>0</v>
      </c>
      <c r="L92" s="21">
        <f>H92*I92</f>
        <v>0</v>
      </c>
      <c r="M92" s="102" t="s">
        <v>764</v>
      </c>
      <c r="N92" s="5"/>
      <c r="Z92" s="38">
        <f>IF(AQ92="5",BJ92,0)</f>
        <v>0</v>
      </c>
      <c r="AB92" s="38">
        <f>IF(AQ92="1",BH92,0)</f>
        <v>0</v>
      </c>
      <c r="AC92" s="38">
        <f>IF(AQ92="1",BI92,0)</f>
        <v>0</v>
      </c>
      <c r="AD92" s="38">
        <f>IF(AQ92="7",BH92,0)</f>
        <v>0</v>
      </c>
      <c r="AE92" s="38">
        <f>IF(AQ92="7",BI92,0)</f>
        <v>0</v>
      </c>
      <c r="AF92" s="38">
        <f>IF(AQ92="2",BH92,0)</f>
        <v>0</v>
      </c>
      <c r="AG92" s="38">
        <f>IF(AQ92="2",BI92,0)</f>
        <v>0</v>
      </c>
      <c r="AH92" s="38">
        <f>IF(AQ92="0",BJ92,0)</f>
        <v>0</v>
      </c>
      <c r="AI92" s="37"/>
      <c r="AJ92" s="21">
        <f>IF(AN92=0,L92,0)</f>
        <v>0</v>
      </c>
      <c r="AK92" s="21">
        <f>IF(AN92=12,L92,0)</f>
        <v>0</v>
      </c>
      <c r="AL92" s="21">
        <f>IF(AN92=21,L92,0)</f>
        <v>0</v>
      </c>
      <c r="AN92" s="38">
        <v>12</v>
      </c>
      <c r="AO92" s="38">
        <f>I92*0</f>
        <v>0</v>
      </c>
      <c r="AP92" s="38">
        <f>I92*(1-0)</f>
        <v>0</v>
      </c>
      <c r="AQ92" s="39" t="s">
        <v>13</v>
      </c>
      <c r="AV92" s="38">
        <f>AW92+AX92</f>
        <v>0</v>
      </c>
      <c r="AW92" s="38">
        <f>H92*AO92</f>
        <v>0</v>
      </c>
      <c r="AX92" s="38">
        <f>H92*AP92</f>
        <v>0</v>
      </c>
      <c r="AY92" s="41" t="s">
        <v>591</v>
      </c>
      <c r="AZ92" s="41" t="s">
        <v>612</v>
      </c>
      <c r="BA92" s="37" t="s">
        <v>616</v>
      </c>
      <c r="BC92" s="38">
        <f>AW92+AX92</f>
        <v>0</v>
      </c>
      <c r="BD92" s="38">
        <f>I92/(100-BE92)*100</f>
        <v>0</v>
      </c>
      <c r="BE92" s="38">
        <v>0</v>
      </c>
      <c r="BF92" s="38">
        <f>92</f>
        <v>92</v>
      </c>
      <c r="BH92" s="21">
        <f>H92*AO92</f>
        <v>0</v>
      </c>
      <c r="BI92" s="21">
        <f>H92*AP92</f>
        <v>0</v>
      </c>
      <c r="BJ92" s="21">
        <f>H92*I92</f>
        <v>0</v>
      </c>
      <c r="BK92" s="21" t="s">
        <v>621</v>
      </c>
      <c r="BL92" s="38">
        <v>776</v>
      </c>
    </row>
    <row r="93" spans="1:64" x14ac:dyDescent="0.2">
      <c r="A93" s="5"/>
      <c r="B93" s="14" t="s">
        <v>155</v>
      </c>
      <c r="C93" s="168" t="s">
        <v>396</v>
      </c>
      <c r="D93" s="169"/>
      <c r="E93" s="169"/>
      <c r="F93" s="169"/>
      <c r="G93" s="169"/>
      <c r="H93" s="169"/>
      <c r="I93" s="170"/>
      <c r="J93" s="169"/>
      <c r="K93" s="169"/>
      <c r="L93" s="169"/>
      <c r="M93" s="171"/>
      <c r="N93" s="5"/>
    </row>
    <row r="94" spans="1:64" x14ac:dyDescent="0.2">
      <c r="A94" s="4" t="s">
        <v>46</v>
      </c>
      <c r="B94" s="13" t="s">
        <v>202</v>
      </c>
      <c r="C94" s="164" t="s">
        <v>397</v>
      </c>
      <c r="D94" s="165"/>
      <c r="E94" s="165"/>
      <c r="F94" s="165"/>
      <c r="G94" s="13" t="s">
        <v>541</v>
      </c>
      <c r="H94" s="21">
        <v>5.94</v>
      </c>
      <c r="I94" s="26">
        <v>0</v>
      </c>
      <c r="J94" s="21">
        <f>H94*AO94</f>
        <v>0</v>
      </c>
      <c r="K94" s="21">
        <f>H94*AP94</f>
        <v>0</v>
      </c>
      <c r="L94" s="21">
        <f>H94*I94</f>
        <v>0</v>
      </c>
      <c r="M94" s="102" t="s">
        <v>764</v>
      </c>
      <c r="N94" s="5"/>
      <c r="Z94" s="38">
        <f>IF(AQ94="5",BJ94,0)</f>
        <v>0</v>
      </c>
      <c r="AB94" s="38">
        <f>IF(AQ94="1",BH94,0)</f>
        <v>0</v>
      </c>
      <c r="AC94" s="38">
        <f>IF(AQ94="1",BI94,0)</f>
        <v>0</v>
      </c>
      <c r="AD94" s="38">
        <f>IF(AQ94="7",BH94,0)</f>
        <v>0</v>
      </c>
      <c r="AE94" s="38">
        <f>IF(AQ94="7",BI94,0)</f>
        <v>0</v>
      </c>
      <c r="AF94" s="38">
        <f>IF(AQ94="2",BH94,0)</f>
        <v>0</v>
      </c>
      <c r="AG94" s="38">
        <f>IF(AQ94="2",BI94,0)</f>
        <v>0</v>
      </c>
      <c r="AH94" s="38">
        <f>IF(AQ94="0",BJ94,0)</f>
        <v>0</v>
      </c>
      <c r="AI94" s="37"/>
      <c r="AJ94" s="21">
        <f>IF(AN94=0,L94,0)</f>
        <v>0</v>
      </c>
      <c r="AK94" s="21">
        <f>IF(AN94=12,L94,0)</f>
        <v>0</v>
      </c>
      <c r="AL94" s="21">
        <f>IF(AN94=21,L94,0)</f>
        <v>0</v>
      </c>
      <c r="AN94" s="38">
        <v>12</v>
      </c>
      <c r="AO94" s="38">
        <f>I94*0</f>
        <v>0</v>
      </c>
      <c r="AP94" s="38">
        <f>I94*(1-0)</f>
        <v>0</v>
      </c>
      <c r="AQ94" s="39" t="s">
        <v>13</v>
      </c>
      <c r="AV94" s="38">
        <f>AW94+AX94</f>
        <v>0</v>
      </c>
      <c r="AW94" s="38">
        <f>H94*AO94</f>
        <v>0</v>
      </c>
      <c r="AX94" s="38">
        <f>H94*AP94</f>
        <v>0</v>
      </c>
      <c r="AY94" s="41" t="s">
        <v>591</v>
      </c>
      <c r="AZ94" s="41" t="s">
        <v>612</v>
      </c>
      <c r="BA94" s="37" t="s">
        <v>616</v>
      </c>
      <c r="BC94" s="38">
        <f>AW94+AX94</f>
        <v>0</v>
      </c>
      <c r="BD94" s="38">
        <f>I94/(100-BE94)*100</f>
        <v>0</v>
      </c>
      <c r="BE94" s="38">
        <v>0</v>
      </c>
      <c r="BF94" s="38">
        <f>94</f>
        <v>94</v>
      </c>
      <c r="BH94" s="21">
        <f>H94*AO94</f>
        <v>0</v>
      </c>
      <c r="BI94" s="21">
        <f>H94*AP94</f>
        <v>0</v>
      </c>
      <c r="BJ94" s="21">
        <f>H94*I94</f>
        <v>0</v>
      </c>
      <c r="BK94" s="21" t="s">
        <v>621</v>
      </c>
      <c r="BL94" s="38">
        <v>776</v>
      </c>
    </row>
    <row r="95" spans="1:64" x14ac:dyDescent="0.2">
      <c r="A95" s="6"/>
      <c r="B95" s="15" t="s">
        <v>203</v>
      </c>
      <c r="C95" s="166" t="s">
        <v>398</v>
      </c>
      <c r="D95" s="167"/>
      <c r="E95" s="167"/>
      <c r="F95" s="167"/>
      <c r="G95" s="19" t="s">
        <v>6</v>
      </c>
      <c r="H95" s="19" t="s">
        <v>6</v>
      </c>
      <c r="I95" s="27" t="s">
        <v>6</v>
      </c>
      <c r="J95" s="44">
        <f>SUM(J96:J98)</f>
        <v>0</v>
      </c>
      <c r="K95" s="44">
        <f>SUM(K96:K98)</f>
        <v>0</v>
      </c>
      <c r="L95" s="44">
        <f>SUM(L96:L98)</f>
        <v>0</v>
      </c>
      <c r="M95" s="103"/>
      <c r="N95" s="5"/>
      <c r="AI95" s="37"/>
      <c r="AS95" s="44">
        <f>SUM(AJ96:AJ98)</f>
        <v>0</v>
      </c>
      <c r="AT95" s="44">
        <f>SUM(AK96:AK98)</f>
        <v>0</v>
      </c>
      <c r="AU95" s="44">
        <f>SUM(AL96:AL98)</f>
        <v>0</v>
      </c>
    </row>
    <row r="96" spans="1:64" x14ac:dyDescent="0.2">
      <c r="A96" s="4" t="s">
        <v>47</v>
      </c>
      <c r="B96" s="13" t="s">
        <v>204</v>
      </c>
      <c r="C96" s="164" t="s">
        <v>399</v>
      </c>
      <c r="D96" s="165"/>
      <c r="E96" s="165"/>
      <c r="F96" s="165"/>
      <c r="G96" s="13" t="s">
        <v>541</v>
      </c>
      <c r="H96" s="21">
        <v>11.1</v>
      </c>
      <c r="I96" s="26">
        <v>0</v>
      </c>
      <c r="J96" s="21">
        <f>H96*AO96</f>
        <v>0</v>
      </c>
      <c r="K96" s="21">
        <f>H96*AP96</f>
        <v>0</v>
      </c>
      <c r="L96" s="21">
        <f>H96*I96</f>
        <v>0</v>
      </c>
      <c r="M96" s="102" t="s">
        <v>764</v>
      </c>
      <c r="N96" s="5"/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37"/>
      <c r="AJ96" s="21">
        <f>IF(AN96=0,L96,0)</f>
        <v>0</v>
      </c>
      <c r="AK96" s="21">
        <f>IF(AN96=12,L96,0)</f>
        <v>0</v>
      </c>
      <c r="AL96" s="21">
        <f>IF(AN96=21,L96,0)</f>
        <v>0</v>
      </c>
      <c r="AN96" s="38">
        <v>12</v>
      </c>
      <c r="AO96" s="38">
        <f>I96*0.458706986444213</f>
        <v>0</v>
      </c>
      <c r="AP96" s="38">
        <f>I96*(1-0.458706986444213)</f>
        <v>0</v>
      </c>
      <c r="AQ96" s="39" t="s">
        <v>13</v>
      </c>
      <c r="AV96" s="38">
        <f>AW96+AX96</f>
        <v>0</v>
      </c>
      <c r="AW96" s="38">
        <f>H96*AO96</f>
        <v>0</v>
      </c>
      <c r="AX96" s="38">
        <f>H96*AP96</f>
        <v>0</v>
      </c>
      <c r="AY96" s="41" t="s">
        <v>592</v>
      </c>
      <c r="AZ96" s="41" t="s">
        <v>613</v>
      </c>
      <c r="BA96" s="37" t="s">
        <v>616</v>
      </c>
      <c r="BC96" s="38">
        <f>AW96+AX96</f>
        <v>0</v>
      </c>
      <c r="BD96" s="38">
        <f>I96/(100-BE96)*100</f>
        <v>0</v>
      </c>
      <c r="BE96" s="38">
        <v>0</v>
      </c>
      <c r="BF96" s="38">
        <f>96</f>
        <v>96</v>
      </c>
      <c r="BH96" s="21">
        <f>H96*AO96</f>
        <v>0</v>
      </c>
      <c r="BI96" s="21">
        <f>H96*AP96</f>
        <v>0</v>
      </c>
      <c r="BJ96" s="21">
        <f>H96*I96</f>
        <v>0</v>
      </c>
      <c r="BK96" s="21" t="s">
        <v>621</v>
      </c>
      <c r="BL96" s="38">
        <v>783</v>
      </c>
    </row>
    <row r="97" spans="1:64" x14ac:dyDescent="0.2">
      <c r="A97" s="5"/>
      <c r="B97" s="14" t="s">
        <v>155</v>
      </c>
      <c r="C97" s="168" t="s">
        <v>400</v>
      </c>
      <c r="D97" s="169"/>
      <c r="E97" s="169"/>
      <c r="F97" s="169"/>
      <c r="G97" s="169"/>
      <c r="H97" s="169"/>
      <c r="I97" s="170"/>
      <c r="J97" s="169"/>
      <c r="K97" s="169"/>
      <c r="L97" s="169"/>
      <c r="M97" s="171"/>
      <c r="N97" s="5"/>
    </row>
    <row r="98" spans="1:64" x14ac:dyDescent="0.2">
      <c r="A98" s="4" t="s">
        <v>48</v>
      </c>
      <c r="B98" s="13" t="s">
        <v>205</v>
      </c>
      <c r="C98" s="164" t="s">
        <v>401</v>
      </c>
      <c r="D98" s="165"/>
      <c r="E98" s="165"/>
      <c r="F98" s="165"/>
      <c r="G98" s="13" t="s">
        <v>541</v>
      </c>
      <c r="H98" s="21">
        <v>15</v>
      </c>
      <c r="I98" s="26">
        <v>0</v>
      </c>
      <c r="J98" s="21">
        <f>H98*AO98</f>
        <v>0</v>
      </c>
      <c r="K98" s="21">
        <f>H98*AP98</f>
        <v>0</v>
      </c>
      <c r="L98" s="21">
        <f>H98*I98</f>
        <v>0</v>
      </c>
      <c r="M98" s="102" t="s">
        <v>763</v>
      </c>
      <c r="N98" s="5"/>
      <c r="Z98" s="38">
        <f>IF(AQ98="5",BJ98,0)</f>
        <v>0</v>
      </c>
      <c r="AB98" s="38">
        <f>IF(AQ98="1",BH98,0)</f>
        <v>0</v>
      </c>
      <c r="AC98" s="38">
        <f>IF(AQ98="1",BI98,0)</f>
        <v>0</v>
      </c>
      <c r="AD98" s="38">
        <f>IF(AQ98="7",BH98,0)</f>
        <v>0</v>
      </c>
      <c r="AE98" s="38">
        <f>IF(AQ98="7",BI98,0)</f>
        <v>0</v>
      </c>
      <c r="AF98" s="38">
        <f>IF(AQ98="2",BH98,0)</f>
        <v>0</v>
      </c>
      <c r="AG98" s="38">
        <f>IF(AQ98="2",BI98,0)</f>
        <v>0</v>
      </c>
      <c r="AH98" s="38">
        <f>IF(AQ98="0",BJ98,0)</f>
        <v>0</v>
      </c>
      <c r="AI98" s="37"/>
      <c r="AJ98" s="21">
        <f>IF(AN98=0,L98,0)</f>
        <v>0</v>
      </c>
      <c r="AK98" s="21">
        <f>IF(AN98=12,L98,0)</f>
        <v>0</v>
      </c>
      <c r="AL98" s="21">
        <f>IF(AN98=21,L98,0)</f>
        <v>0</v>
      </c>
      <c r="AN98" s="38">
        <v>12</v>
      </c>
      <c r="AO98" s="38">
        <f>I98*0.560197775030902</f>
        <v>0</v>
      </c>
      <c r="AP98" s="38">
        <f>I98*(1-0.560197775030902)</f>
        <v>0</v>
      </c>
      <c r="AQ98" s="39" t="s">
        <v>13</v>
      </c>
      <c r="AV98" s="38">
        <f>AW98+AX98</f>
        <v>0</v>
      </c>
      <c r="AW98" s="38">
        <f>H98*AO98</f>
        <v>0</v>
      </c>
      <c r="AX98" s="38">
        <f>H98*AP98</f>
        <v>0</v>
      </c>
      <c r="AY98" s="41" t="s">
        <v>592</v>
      </c>
      <c r="AZ98" s="41" t="s">
        <v>613</v>
      </c>
      <c r="BA98" s="37" t="s">
        <v>616</v>
      </c>
      <c r="BC98" s="38">
        <f>AW98+AX98</f>
        <v>0</v>
      </c>
      <c r="BD98" s="38">
        <f>I98/(100-BE98)*100</f>
        <v>0</v>
      </c>
      <c r="BE98" s="38">
        <v>0</v>
      </c>
      <c r="BF98" s="38">
        <f>98</f>
        <v>98</v>
      </c>
      <c r="BH98" s="21">
        <f>H98*AO98</f>
        <v>0</v>
      </c>
      <c r="BI98" s="21">
        <f>H98*AP98</f>
        <v>0</v>
      </c>
      <c r="BJ98" s="21">
        <f>H98*I98</f>
        <v>0</v>
      </c>
      <c r="BK98" s="21" t="s">
        <v>621</v>
      </c>
      <c r="BL98" s="38">
        <v>783</v>
      </c>
    </row>
    <row r="99" spans="1:64" x14ac:dyDescent="0.2">
      <c r="A99" s="6"/>
      <c r="B99" s="15" t="s">
        <v>206</v>
      </c>
      <c r="C99" s="166" t="s">
        <v>402</v>
      </c>
      <c r="D99" s="167"/>
      <c r="E99" s="167"/>
      <c r="F99" s="167"/>
      <c r="G99" s="19" t="s">
        <v>6</v>
      </c>
      <c r="H99" s="19" t="s">
        <v>6</v>
      </c>
      <c r="I99" s="27" t="s">
        <v>6</v>
      </c>
      <c r="J99" s="44">
        <f>SUM(J100:J100)</f>
        <v>0</v>
      </c>
      <c r="K99" s="44">
        <f>SUM(K100:K100)</f>
        <v>0</v>
      </c>
      <c r="L99" s="44">
        <f>SUM(L100:L100)</f>
        <v>0</v>
      </c>
      <c r="M99" s="103"/>
      <c r="N99" s="5"/>
      <c r="AI99" s="37"/>
      <c r="AS99" s="44">
        <f>SUM(AJ100:AJ100)</f>
        <v>0</v>
      </c>
      <c r="AT99" s="44">
        <f>SUM(AK100:AK100)</f>
        <v>0</v>
      </c>
      <c r="AU99" s="44">
        <f>SUM(AL100:AL100)</f>
        <v>0</v>
      </c>
    </row>
    <row r="100" spans="1:64" x14ac:dyDescent="0.2">
      <c r="A100" s="4" t="s">
        <v>49</v>
      </c>
      <c r="B100" s="13" t="s">
        <v>207</v>
      </c>
      <c r="C100" s="164" t="s">
        <v>403</v>
      </c>
      <c r="D100" s="165"/>
      <c r="E100" s="165"/>
      <c r="F100" s="165"/>
      <c r="G100" s="13" t="s">
        <v>541</v>
      </c>
      <c r="H100" s="21">
        <v>519.41</v>
      </c>
      <c r="I100" s="26">
        <v>0</v>
      </c>
      <c r="J100" s="21">
        <f>H100*AO100</f>
        <v>0</v>
      </c>
      <c r="K100" s="21">
        <f>H100*AP100</f>
        <v>0</v>
      </c>
      <c r="L100" s="21">
        <f>H100*I100</f>
        <v>0</v>
      </c>
      <c r="M100" s="102" t="s">
        <v>764</v>
      </c>
      <c r="N100" s="5"/>
      <c r="Z100" s="38">
        <f>IF(AQ100="5",BJ100,0)</f>
        <v>0</v>
      </c>
      <c r="AB100" s="38">
        <f>IF(AQ100="1",BH100,0)</f>
        <v>0</v>
      </c>
      <c r="AC100" s="38">
        <f>IF(AQ100="1",BI100,0)</f>
        <v>0</v>
      </c>
      <c r="AD100" s="38">
        <f>IF(AQ100="7",BH100,0)</f>
        <v>0</v>
      </c>
      <c r="AE100" s="38">
        <f>IF(AQ100="7",BI100,0)</f>
        <v>0</v>
      </c>
      <c r="AF100" s="38">
        <f>IF(AQ100="2",BH100,0)</f>
        <v>0</v>
      </c>
      <c r="AG100" s="38">
        <f>IF(AQ100="2",BI100,0)</f>
        <v>0</v>
      </c>
      <c r="AH100" s="38">
        <f>IF(AQ100="0",BJ100,0)</f>
        <v>0</v>
      </c>
      <c r="AI100" s="37"/>
      <c r="AJ100" s="21">
        <f>IF(AN100=0,L100,0)</f>
        <v>0</v>
      </c>
      <c r="AK100" s="21">
        <f>IF(AN100=12,L100,0)</f>
        <v>0</v>
      </c>
      <c r="AL100" s="21">
        <f>IF(AN100=21,L100,0)</f>
        <v>0</v>
      </c>
      <c r="AN100" s="38">
        <v>12</v>
      </c>
      <c r="AO100" s="38">
        <f>I100*0.254487158548962</f>
        <v>0</v>
      </c>
      <c r="AP100" s="38">
        <f>I100*(1-0.254487158548962)</f>
        <v>0</v>
      </c>
      <c r="AQ100" s="39" t="s">
        <v>13</v>
      </c>
      <c r="AV100" s="38">
        <f>AW100+AX100</f>
        <v>0</v>
      </c>
      <c r="AW100" s="38">
        <f>H100*AO100</f>
        <v>0</v>
      </c>
      <c r="AX100" s="38">
        <f>H100*AP100</f>
        <v>0</v>
      </c>
      <c r="AY100" s="41" t="s">
        <v>593</v>
      </c>
      <c r="AZ100" s="41" t="s">
        <v>613</v>
      </c>
      <c r="BA100" s="37" t="s">
        <v>616</v>
      </c>
      <c r="BC100" s="38">
        <f>AW100+AX100</f>
        <v>0</v>
      </c>
      <c r="BD100" s="38">
        <f>I100/(100-BE100)*100</f>
        <v>0</v>
      </c>
      <c r="BE100" s="38">
        <v>0</v>
      </c>
      <c r="BF100" s="38">
        <f>100</f>
        <v>100</v>
      </c>
      <c r="BH100" s="21">
        <f>H100*AO100</f>
        <v>0</v>
      </c>
      <c r="BI100" s="21">
        <f>H100*AP100</f>
        <v>0</v>
      </c>
      <c r="BJ100" s="21">
        <f>H100*I100</f>
        <v>0</v>
      </c>
      <c r="BK100" s="21" t="s">
        <v>621</v>
      </c>
      <c r="BL100" s="38">
        <v>784</v>
      </c>
    </row>
    <row r="101" spans="1:64" x14ac:dyDescent="0.2">
      <c r="A101" s="5"/>
      <c r="B101" s="14" t="s">
        <v>155</v>
      </c>
      <c r="C101" s="168" t="s">
        <v>404</v>
      </c>
      <c r="D101" s="169"/>
      <c r="E101" s="169"/>
      <c r="F101" s="169"/>
      <c r="G101" s="169"/>
      <c r="H101" s="169"/>
      <c r="I101" s="170"/>
      <c r="J101" s="169"/>
      <c r="K101" s="169"/>
      <c r="L101" s="169"/>
      <c r="M101" s="171"/>
      <c r="N101" s="5"/>
    </row>
    <row r="102" spans="1:64" x14ac:dyDescent="0.2">
      <c r="A102" s="6"/>
      <c r="B102" s="15" t="s">
        <v>96</v>
      </c>
      <c r="C102" s="166" t="s">
        <v>405</v>
      </c>
      <c r="D102" s="167"/>
      <c r="E102" s="167"/>
      <c r="F102" s="167"/>
      <c r="G102" s="19" t="s">
        <v>6</v>
      </c>
      <c r="H102" s="19" t="s">
        <v>6</v>
      </c>
      <c r="I102" s="27" t="s">
        <v>6</v>
      </c>
      <c r="J102" s="44">
        <f>SUM(J103:J117)</f>
        <v>0</v>
      </c>
      <c r="K102" s="44">
        <f>SUM(K103:K117)</f>
        <v>0</v>
      </c>
      <c r="L102" s="44">
        <f>SUM(L103:L117)</f>
        <v>0</v>
      </c>
      <c r="M102" s="103"/>
      <c r="N102" s="5"/>
      <c r="AI102" s="37"/>
      <c r="AS102" s="44">
        <f>SUM(AJ103:AJ117)</f>
        <v>0</v>
      </c>
      <c r="AT102" s="44">
        <f>SUM(AK103:AK117)</f>
        <v>0</v>
      </c>
      <c r="AU102" s="44">
        <f>SUM(AL103:AL117)</f>
        <v>0</v>
      </c>
    </row>
    <row r="103" spans="1:64" x14ac:dyDescent="0.2">
      <c r="A103" s="4" t="s">
        <v>50</v>
      </c>
      <c r="B103" s="13" t="s">
        <v>208</v>
      </c>
      <c r="C103" s="164" t="s">
        <v>406</v>
      </c>
      <c r="D103" s="165"/>
      <c r="E103" s="165"/>
      <c r="F103" s="165"/>
      <c r="G103" s="13" t="s">
        <v>542</v>
      </c>
      <c r="H103" s="21">
        <v>20</v>
      </c>
      <c r="I103" s="26">
        <v>0</v>
      </c>
      <c r="J103" s="21">
        <f>H103*AO103</f>
        <v>0</v>
      </c>
      <c r="K103" s="21">
        <f>H103*AP103</f>
        <v>0</v>
      </c>
      <c r="L103" s="21">
        <f>H103*I103</f>
        <v>0</v>
      </c>
      <c r="M103" s="102" t="s">
        <v>763</v>
      </c>
      <c r="N103" s="5"/>
      <c r="Z103" s="38">
        <f>IF(AQ103="5",BJ103,0)</f>
        <v>0</v>
      </c>
      <c r="AB103" s="38">
        <f>IF(AQ103="1",BH103,0)</f>
        <v>0</v>
      </c>
      <c r="AC103" s="38">
        <f>IF(AQ103="1",BI103,0)</f>
        <v>0</v>
      </c>
      <c r="AD103" s="38">
        <f>IF(AQ103="7",BH103,0)</f>
        <v>0</v>
      </c>
      <c r="AE103" s="38">
        <f>IF(AQ103="7",BI103,0)</f>
        <v>0</v>
      </c>
      <c r="AF103" s="38">
        <f>IF(AQ103="2",BH103,0)</f>
        <v>0</v>
      </c>
      <c r="AG103" s="38">
        <f>IF(AQ103="2",BI103,0)</f>
        <v>0</v>
      </c>
      <c r="AH103" s="38">
        <f>IF(AQ103="0",BJ103,0)</f>
        <v>0</v>
      </c>
      <c r="AI103" s="37"/>
      <c r="AJ103" s="21">
        <f>IF(AN103=0,L103,0)</f>
        <v>0</v>
      </c>
      <c r="AK103" s="21">
        <f>IF(AN103=12,L103,0)</f>
        <v>0</v>
      </c>
      <c r="AL103" s="21">
        <f>IF(AN103=21,L103,0)</f>
        <v>0</v>
      </c>
      <c r="AN103" s="38">
        <v>12</v>
      </c>
      <c r="AO103" s="38">
        <f>I103*0</f>
        <v>0</v>
      </c>
      <c r="AP103" s="38">
        <f>I103*(1-0)</f>
        <v>0</v>
      </c>
      <c r="AQ103" s="39" t="s">
        <v>7</v>
      </c>
      <c r="AV103" s="38">
        <f>AW103+AX103</f>
        <v>0</v>
      </c>
      <c r="AW103" s="38">
        <f>H103*AO103</f>
        <v>0</v>
      </c>
      <c r="AX103" s="38">
        <f>H103*AP103</f>
        <v>0</v>
      </c>
      <c r="AY103" s="41" t="s">
        <v>594</v>
      </c>
      <c r="AZ103" s="41" t="s">
        <v>614</v>
      </c>
      <c r="BA103" s="37" t="s">
        <v>616</v>
      </c>
      <c r="BC103" s="38">
        <f>AW103+AX103</f>
        <v>0</v>
      </c>
      <c r="BD103" s="38">
        <f>I103/(100-BE103)*100</f>
        <v>0</v>
      </c>
      <c r="BE103" s="38">
        <v>0</v>
      </c>
      <c r="BF103" s="38">
        <f>103</f>
        <v>103</v>
      </c>
      <c r="BH103" s="21">
        <f>H103*AO103</f>
        <v>0</v>
      </c>
      <c r="BI103" s="21">
        <f>H103*AP103</f>
        <v>0</v>
      </c>
      <c r="BJ103" s="21">
        <f>H103*I103</f>
        <v>0</v>
      </c>
      <c r="BK103" s="21" t="s">
        <v>621</v>
      </c>
      <c r="BL103" s="38">
        <v>90</v>
      </c>
    </row>
    <row r="104" spans="1:64" x14ac:dyDescent="0.2">
      <c r="A104" s="5"/>
      <c r="B104" s="14" t="s">
        <v>155</v>
      </c>
      <c r="C104" s="168" t="s">
        <v>407</v>
      </c>
      <c r="D104" s="169"/>
      <c r="E104" s="169"/>
      <c r="F104" s="169"/>
      <c r="G104" s="169"/>
      <c r="H104" s="169"/>
      <c r="I104" s="170"/>
      <c r="J104" s="169"/>
      <c r="K104" s="169"/>
      <c r="L104" s="169"/>
      <c r="M104" s="171"/>
      <c r="N104" s="5"/>
    </row>
    <row r="105" spans="1:64" x14ac:dyDescent="0.2">
      <c r="A105" s="4" t="s">
        <v>51</v>
      </c>
      <c r="B105" s="13" t="s">
        <v>209</v>
      </c>
      <c r="C105" s="164" t="s">
        <v>408</v>
      </c>
      <c r="D105" s="165"/>
      <c r="E105" s="165"/>
      <c r="F105" s="165"/>
      <c r="G105" s="13" t="s">
        <v>542</v>
      </c>
      <c r="H105" s="21">
        <v>2</v>
      </c>
      <c r="I105" s="26">
        <v>0</v>
      </c>
      <c r="J105" s="21">
        <f>H105*AO105</f>
        <v>0</v>
      </c>
      <c r="K105" s="21">
        <f>H105*AP105</f>
        <v>0</v>
      </c>
      <c r="L105" s="21">
        <f>H105*I105</f>
        <v>0</v>
      </c>
      <c r="M105" s="102" t="s">
        <v>763</v>
      </c>
      <c r="N105" s="5"/>
      <c r="Z105" s="38">
        <f>IF(AQ105="5",BJ105,0)</f>
        <v>0</v>
      </c>
      <c r="AB105" s="38">
        <f>IF(AQ105="1",BH105,0)</f>
        <v>0</v>
      </c>
      <c r="AC105" s="38">
        <f>IF(AQ105="1",BI105,0)</f>
        <v>0</v>
      </c>
      <c r="AD105" s="38">
        <f>IF(AQ105="7",BH105,0)</f>
        <v>0</v>
      </c>
      <c r="AE105" s="38">
        <f>IF(AQ105="7",BI105,0)</f>
        <v>0</v>
      </c>
      <c r="AF105" s="38">
        <f>IF(AQ105="2",BH105,0)</f>
        <v>0</v>
      </c>
      <c r="AG105" s="38">
        <f>IF(AQ105="2",BI105,0)</f>
        <v>0</v>
      </c>
      <c r="AH105" s="38">
        <f>IF(AQ105="0",BJ105,0)</f>
        <v>0</v>
      </c>
      <c r="AI105" s="37"/>
      <c r="AJ105" s="21">
        <f>IF(AN105=0,L105,0)</f>
        <v>0</v>
      </c>
      <c r="AK105" s="21">
        <f>IF(AN105=12,L105,0)</f>
        <v>0</v>
      </c>
      <c r="AL105" s="21">
        <f>IF(AN105=21,L105,0)</f>
        <v>0</v>
      </c>
      <c r="AN105" s="38">
        <v>12</v>
      </c>
      <c r="AO105" s="38">
        <f>I105*0</f>
        <v>0</v>
      </c>
      <c r="AP105" s="38">
        <f>I105*(1-0)</f>
        <v>0</v>
      </c>
      <c r="AQ105" s="39" t="s">
        <v>7</v>
      </c>
      <c r="AV105" s="38">
        <f>AW105+AX105</f>
        <v>0</v>
      </c>
      <c r="AW105" s="38">
        <f>H105*AO105</f>
        <v>0</v>
      </c>
      <c r="AX105" s="38">
        <f>H105*AP105</f>
        <v>0</v>
      </c>
      <c r="AY105" s="41" t="s">
        <v>594</v>
      </c>
      <c r="AZ105" s="41" t="s">
        <v>614</v>
      </c>
      <c r="BA105" s="37" t="s">
        <v>616</v>
      </c>
      <c r="BC105" s="38">
        <f>AW105+AX105</f>
        <v>0</v>
      </c>
      <c r="BD105" s="38">
        <f>I105/(100-BE105)*100</f>
        <v>0</v>
      </c>
      <c r="BE105" s="38">
        <v>0</v>
      </c>
      <c r="BF105" s="38">
        <f>105</f>
        <v>105</v>
      </c>
      <c r="BH105" s="21">
        <f>H105*AO105</f>
        <v>0</v>
      </c>
      <c r="BI105" s="21">
        <f>H105*AP105</f>
        <v>0</v>
      </c>
      <c r="BJ105" s="21">
        <f>H105*I105</f>
        <v>0</v>
      </c>
      <c r="BK105" s="21" t="s">
        <v>621</v>
      </c>
      <c r="BL105" s="38">
        <v>90</v>
      </c>
    </row>
    <row r="106" spans="1:64" x14ac:dyDescent="0.2">
      <c r="A106" s="5"/>
      <c r="B106" s="14" t="s">
        <v>155</v>
      </c>
      <c r="C106" s="168" t="s">
        <v>409</v>
      </c>
      <c r="D106" s="169"/>
      <c r="E106" s="169"/>
      <c r="F106" s="169"/>
      <c r="G106" s="169"/>
      <c r="H106" s="169"/>
      <c r="I106" s="170"/>
      <c r="J106" s="169"/>
      <c r="K106" s="169"/>
      <c r="L106" s="169"/>
      <c r="M106" s="171"/>
      <c r="N106" s="5"/>
    </row>
    <row r="107" spans="1:64" x14ac:dyDescent="0.2">
      <c r="A107" s="4" t="s">
        <v>52</v>
      </c>
      <c r="B107" s="13" t="s">
        <v>208</v>
      </c>
      <c r="C107" s="164" t="s">
        <v>410</v>
      </c>
      <c r="D107" s="165"/>
      <c r="E107" s="165"/>
      <c r="F107" s="165"/>
      <c r="G107" s="13" t="s">
        <v>542</v>
      </c>
      <c r="H107" s="21">
        <v>10</v>
      </c>
      <c r="I107" s="26">
        <v>0</v>
      </c>
      <c r="J107" s="21">
        <f>H107*AO107</f>
        <v>0</v>
      </c>
      <c r="K107" s="21">
        <f>H107*AP107</f>
        <v>0</v>
      </c>
      <c r="L107" s="21">
        <f>H107*I107</f>
        <v>0</v>
      </c>
      <c r="M107" s="102" t="s">
        <v>763</v>
      </c>
      <c r="N107" s="5"/>
      <c r="Z107" s="38">
        <f>IF(AQ107="5",BJ107,0)</f>
        <v>0</v>
      </c>
      <c r="AB107" s="38">
        <f>IF(AQ107="1",BH107,0)</f>
        <v>0</v>
      </c>
      <c r="AC107" s="38">
        <f>IF(AQ107="1",BI107,0)</f>
        <v>0</v>
      </c>
      <c r="AD107" s="38">
        <f>IF(AQ107="7",BH107,0)</f>
        <v>0</v>
      </c>
      <c r="AE107" s="38">
        <f>IF(AQ107="7",BI107,0)</f>
        <v>0</v>
      </c>
      <c r="AF107" s="38">
        <f>IF(AQ107="2",BH107,0)</f>
        <v>0</v>
      </c>
      <c r="AG107" s="38">
        <f>IF(AQ107="2",BI107,0)</f>
        <v>0</v>
      </c>
      <c r="AH107" s="38">
        <f>IF(AQ107="0",BJ107,0)</f>
        <v>0</v>
      </c>
      <c r="AI107" s="37"/>
      <c r="AJ107" s="21">
        <f>IF(AN107=0,L107,0)</f>
        <v>0</v>
      </c>
      <c r="AK107" s="21">
        <f>IF(AN107=12,L107,0)</f>
        <v>0</v>
      </c>
      <c r="AL107" s="21">
        <f>IF(AN107=21,L107,0)</f>
        <v>0</v>
      </c>
      <c r="AN107" s="38">
        <v>12</v>
      </c>
      <c r="AO107" s="38">
        <f>I107*0</f>
        <v>0</v>
      </c>
      <c r="AP107" s="38">
        <f>I107*(1-0)</f>
        <v>0</v>
      </c>
      <c r="AQ107" s="39" t="s">
        <v>7</v>
      </c>
      <c r="AV107" s="38">
        <f>AW107+AX107</f>
        <v>0</v>
      </c>
      <c r="AW107" s="38">
        <f>H107*AO107</f>
        <v>0</v>
      </c>
      <c r="AX107" s="38">
        <f>H107*AP107</f>
        <v>0</v>
      </c>
      <c r="AY107" s="41" t="s">
        <v>594</v>
      </c>
      <c r="AZ107" s="41" t="s">
        <v>614</v>
      </c>
      <c r="BA107" s="37" t="s">
        <v>616</v>
      </c>
      <c r="BC107" s="38">
        <f>AW107+AX107</f>
        <v>0</v>
      </c>
      <c r="BD107" s="38">
        <f>I107/(100-BE107)*100</f>
        <v>0</v>
      </c>
      <c r="BE107" s="38">
        <v>0</v>
      </c>
      <c r="BF107" s="38">
        <f>107</f>
        <v>107</v>
      </c>
      <c r="BH107" s="21">
        <f>H107*AO107</f>
        <v>0</v>
      </c>
      <c r="BI107" s="21">
        <f>H107*AP107</f>
        <v>0</v>
      </c>
      <c r="BJ107" s="21">
        <f>H107*I107</f>
        <v>0</v>
      </c>
      <c r="BK107" s="21" t="s">
        <v>621</v>
      </c>
      <c r="BL107" s="38">
        <v>90</v>
      </c>
    </row>
    <row r="108" spans="1:64" x14ac:dyDescent="0.2">
      <c r="A108" s="5"/>
      <c r="B108" s="14" t="s">
        <v>155</v>
      </c>
      <c r="C108" s="168" t="s">
        <v>411</v>
      </c>
      <c r="D108" s="169"/>
      <c r="E108" s="169"/>
      <c r="F108" s="169"/>
      <c r="G108" s="169"/>
      <c r="H108" s="169"/>
      <c r="I108" s="170"/>
      <c r="J108" s="169"/>
      <c r="K108" s="169"/>
      <c r="L108" s="169"/>
      <c r="M108" s="171"/>
      <c r="N108" s="5"/>
    </row>
    <row r="109" spans="1:64" x14ac:dyDescent="0.2">
      <c r="A109" s="4" t="s">
        <v>53</v>
      </c>
      <c r="B109" s="13" t="s">
        <v>210</v>
      </c>
      <c r="C109" s="164" t="s">
        <v>412</v>
      </c>
      <c r="D109" s="165"/>
      <c r="E109" s="165"/>
      <c r="F109" s="165"/>
      <c r="G109" s="13" t="s">
        <v>542</v>
      </c>
      <c r="H109" s="21">
        <v>20</v>
      </c>
      <c r="I109" s="26">
        <v>0</v>
      </c>
      <c r="J109" s="21">
        <f>H109*AO109</f>
        <v>0</v>
      </c>
      <c r="K109" s="21">
        <f>H109*AP109</f>
        <v>0</v>
      </c>
      <c r="L109" s="21">
        <f>H109*I109</f>
        <v>0</v>
      </c>
      <c r="M109" s="102" t="s">
        <v>763</v>
      </c>
      <c r="N109" s="5"/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37"/>
      <c r="AJ109" s="21">
        <f>IF(AN109=0,L109,0)</f>
        <v>0</v>
      </c>
      <c r="AK109" s="21">
        <f>IF(AN109=12,L109,0)</f>
        <v>0</v>
      </c>
      <c r="AL109" s="21">
        <f>IF(AN109=21,L109,0)</f>
        <v>0</v>
      </c>
      <c r="AN109" s="38">
        <v>12</v>
      </c>
      <c r="AO109" s="38">
        <f>I109*0</f>
        <v>0</v>
      </c>
      <c r="AP109" s="38">
        <f>I109*(1-0)</f>
        <v>0</v>
      </c>
      <c r="AQ109" s="39" t="s">
        <v>7</v>
      </c>
      <c r="AV109" s="38">
        <f>AW109+AX109</f>
        <v>0</v>
      </c>
      <c r="AW109" s="38">
        <f>H109*AO109</f>
        <v>0</v>
      </c>
      <c r="AX109" s="38">
        <f>H109*AP109</f>
        <v>0</v>
      </c>
      <c r="AY109" s="41" t="s">
        <v>594</v>
      </c>
      <c r="AZ109" s="41" t="s">
        <v>614</v>
      </c>
      <c r="BA109" s="37" t="s">
        <v>616</v>
      </c>
      <c r="BC109" s="38">
        <f>AW109+AX109</f>
        <v>0</v>
      </c>
      <c r="BD109" s="38">
        <f>I109/(100-BE109)*100</f>
        <v>0</v>
      </c>
      <c r="BE109" s="38">
        <v>0</v>
      </c>
      <c r="BF109" s="38">
        <f>109</f>
        <v>109</v>
      </c>
      <c r="BH109" s="21">
        <f>H109*AO109</f>
        <v>0</v>
      </c>
      <c r="BI109" s="21">
        <f>H109*AP109</f>
        <v>0</v>
      </c>
      <c r="BJ109" s="21">
        <f>H109*I109</f>
        <v>0</v>
      </c>
      <c r="BK109" s="21" t="s">
        <v>621</v>
      </c>
      <c r="BL109" s="38">
        <v>90</v>
      </c>
    </row>
    <row r="110" spans="1:64" x14ac:dyDescent="0.2">
      <c r="A110" s="5"/>
      <c r="B110" s="14" t="s">
        <v>155</v>
      </c>
      <c r="C110" s="168" t="s">
        <v>413</v>
      </c>
      <c r="D110" s="169"/>
      <c r="E110" s="169"/>
      <c r="F110" s="169"/>
      <c r="G110" s="169"/>
      <c r="H110" s="169"/>
      <c r="I110" s="170"/>
      <c r="J110" s="169"/>
      <c r="K110" s="169"/>
      <c r="L110" s="169"/>
      <c r="M110" s="171"/>
      <c r="N110" s="5"/>
    </row>
    <row r="111" spans="1:64" x14ac:dyDescent="0.2">
      <c r="A111" s="85" t="s">
        <v>54</v>
      </c>
      <c r="B111" s="86" t="s">
        <v>211</v>
      </c>
      <c r="C111" s="163" t="s">
        <v>414</v>
      </c>
      <c r="D111" s="165"/>
      <c r="E111" s="165"/>
      <c r="F111" s="165"/>
      <c r="G111" s="86" t="s">
        <v>542</v>
      </c>
      <c r="H111" s="87">
        <v>20</v>
      </c>
      <c r="I111" s="96">
        <v>0</v>
      </c>
      <c r="J111" s="87">
        <f>H111*AO111</f>
        <v>0</v>
      </c>
      <c r="K111" s="87">
        <f>H111*AP111</f>
        <v>0</v>
      </c>
      <c r="L111" s="87">
        <f>H111*I111</f>
        <v>0</v>
      </c>
      <c r="M111" s="102" t="s">
        <v>763</v>
      </c>
      <c r="N111" s="5"/>
      <c r="Z111" s="38">
        <f>IF(AQ111="5",BJ111,0)</f>
        <v>0</v>
      </c>
      <c r="AB111" s="38">
        <f>IF(AQ111="1",BH111,0)</f>
        <v>0</v>
      </c>
      <c r="AC111" s="38">
        <f>IF(AQ111="1",BI111,0)</f>
        <v>0</v>
      </c>
      <c r="AD111" s="38">
        <f>IF(AQ111="7",BH111,0)</f>
        <v>0</v>
      </c>
      <c r="AE111" s="38">
        <f>IF(AQ111="7",BI111,0)</f>
        <v>0</v>
      </c>
      <c r="AF111" s="38">
        <f>IF(AQ111="2",BH111,0)</f>
        <v>0</v>
      </c>
      <c r="AG111" s="38">
        <f>IF(AQ111="2",BI111,0)</f>
        <v>0</v>
      </c>
      <c r="AH111" s="38">
        <f>IF(AQ111="0",BJ111,0)</f>
        <v>0</v>
      </c>
      <c r="AI111" s="37"/>
      <c r="AJ111" s="21">
        <f>IF(AN111=0,L111,0)</f>
        <v>0</v>
      </c>
      <c r="AK111" s="21">
        <f>IF(AN111=12,L111,0)</f>
        <v>0</v>
      </c>
      <c r="AL111" s="21">
        <f>IF(AN111=21,L111,0)</f>
        <v>0</v>
      </c>
      <c r="AN111" s="38">
        <v>12</v>
      </c>
      <c r="AO111" s="38">
        <f>I111*0</f>
        <v>0</v>
      </c>
      <c r="AP111" s="38">
        <f>I111*(1-0)</f>
        <v>0</v>
      </c>
      <c r="AQ111" s="39" t="s">
        <v>7</v>
      </c>
      <c r="AV111" s="38">
        <f>AW111+AX111</f>
        <v>0</v>
      </c>
      <c r="AW111" s="38">
        <f>H111*AO111</f>
        <v>0</v>
      </c>
      <c r="AX111" s="38">
        <f>H111*AP111</f>
        <v>0</v>
      </c>
      <c r="AY111" s="41" t="s">
        <v>594</v>
      </c>
      <c r="AZ111" s="41" t="s">
        <v>614</v>
      </c>
      <c r="BA111" s="37" t="s">
        <v>616</v>
      </c>
      <c r="BC111" s="38">
        <f>AW111+AX111</f>
        <v>0</v>
      </c>
      <c r="BD111" s="38">
        <f>I111/(100-BE111)*100</f>
        <v>0</v>
      </c>
      <c r="BE111" s="38">
        <v>0</v>
      </c>
      <c r="BF111" s="38">
        <f>111</f>
        <v>111</v>
      </c>
      <c r="BH111" s="21">
        <f>H111*AO111</f>
        <v>0</v>
      </c>
      <c r="BI111" s="21">
        <f>H111*AP111</f>
        <v>0</v>
      </c>
      <c r="BJ111" s="21">
        <f>H111*I111</f>
        <v>0</v>
      </c>
      <c r="BK111" s="21" t="s">
        <v>621</v>
      </c>
      <c r="BL111" s="38">
        <v>90</v>
      </c>
    </row>
    <row r="112" spans="1:64" ht="51.4" customHeight="1" x14ac:dyDescent="0.2">
      <c r="A112" s="5"/>
      <c r="B112" s="14" t="s">
        <v>155</v>
      </c>
      <c r="C112" s="168" t="s">
        <v>415</v>
      </c>
      <c r="D112" s="169"/>
      <c r="E112" s="169"/>
      <c r="F112" s="169"/>
      <c r="G112" s="169"/>
      <c r="H112" s="169"/>
      <c r="I112" s="170"/>
      <c r="J112" s="169"/>
      <c r="K112" s="169"/>
      <c r="L112" s="169"/>
      <c r="M112" s="171"/>
      <c r="N112" s="5"/>
    </row>
    <row r="113" spans="1:64" x14ac:dyDescent="0.2">
      <c r="A113" s="4" t="s">
        <v>55</v>
      </c>
      <c r="B113" s="13" t="s">
        <v>212</v>
      </c>
      <c r="C113" s="164" t="s">
        <v>416</v>
      </c>
      <c r="D113" s="165"/>
      <c r="E113" s="165"/>
      <c r="F113" s="165"/>
      <c r="G113" s="13" t="s">
        <v>542</v>
      </c>
      <c r="H113" s="21">
        <v>5</v>
      </c>
      <c r="I113" s="26">
        <v>0</v>
      </c>
      <c r="J113" s="21">
        <f>H113*AO113</f>
        <v>0</v>
      </c>
      <c r="K113" s="21">
        <f>H113*AP113</f>
        <v>0</v>
      </c>
      <c r="L113" s="21">
        <f>H113*I113</f>
        <v>0</v>
      </c>
      <c r="M113" s="102" t="s">
        <v>763</v>
      </c>
      <c r="N113" s="5"/>
      <c r="Z113" s="38">
        <f>IF(AQ113="5",BJ113,0)</f>
        <v>0</v>
      </c>
      <c r="AB113" s="38">
        <f>IF(AQ113="1",BH113,0)</f>
        <v>0</v>
      </c>
      <c r="AC113" s="38">
        <f>IF(AQ113="1",BI113,0)</f>
        <v>0</v>
      </c>
      <c r="AD113" s="38">
        <f>IF(AQ113="7",BH113,0)</f>
        <v>0</v>
      </c>
      <c r="AE113" s="38">
        <f>IF(AQ113="7",BI113,0)</f>
        <v>0</v>
      </c>
      <c r="AF113" s="38">
        <f>IF(AQ113="2",BH113,0)</f>
        <v>0</v>
      </c>
      <c r="AG113" s="38">
        <f>IF(AQ113="2",BI113,0)</f>
        <v>0</v>
      </c>
      <c r="AH113" s="38">
        <f>IF(AQ113="0",BJ113,0)</f>
        <v>0</v>
      </c>
      <c r="AI113" s="37"/>
      <c r="AJ113" s="21">
        <f>IF(AN113=0,L113,0)</f>
        <v>0</v>
      </c>
      <c r="AK113" s="21">
        <f>IF(AN113=12,L113,0)</f>
        <v>0</v>
      </c>
      <c r="AL113" s="21">
        <f>IF(AN113=21,L113,0)</f>
        <v>0</v>
      </c>
      <c r="AN113" s="38">
        <v>12</v>
      </c>
      <c r="AO113" s="38">
        <f>I113*0</f>
        <v>0</v>
      </c>
      <c r="AP113" s="38">
        <f>I113*(1-0)</f>
        <v>0</v>
      </c>
      <c r="AQ113" s="39" t="s">
        <v>7</v>
      </c>
      <c r="AV113" s="38">
        <f>AW113+AX113</f>
        <v>0</v>
      </c>
      <c r="AW113" s="38">
        <f>H113*AO113</f>
        <v>0</v>
      </c>
      <c r="AX113" s="38">
        <f>H113*AP113</f>
        <v>0</v>
      </c>
      <c r="AY113" s="41" t="s">
        <v>594</v>
      </c>
      <c r="AZ113" s="41" t="s">
        <v>614</v>
      </c>
      <c r="BA113" s="37" t="s">
        <v>616</v>
      </c>
      <c r="BC113" s="38">
        <f>AW113+AX113</f>
        <v>0</v>
      </c>
      <c r="BD113" s="38">
        <f>I113/(100-BE113)*100</f>
        <v>0</v>
      </c>
      <c r="BE113" s="38">
        <v>0</v>
      </c>
      <c r="BF113" s="38">
        <f>113</f>
        <v>113</v>
      </c>
      <c r="BH113" s="21">
        <f>H113*AO113</f>
        <v>0</v>
      </c>
      <c r="BI113" s="21">
        <f>H113*AP113</f>
        <v>0</v>
      </c>
      <c r="BJ113" s="21">
        <f>H113*I113</f>
        <v>0</v>
      </c>
      <c r="BK113" s="21" t="s">
        <v>621</v>
      </c>
      <c r="BL113" s="38">
        <v>90</v>
      </c>
    </row>
    <row r="114" spans="1:64" x14ac:dyDescent="0.2">
      <c r="A114" s="5"/>
      <c r="B114" s="14" t="s">
        <v>155</v>
      </c>
      <c r="C114" s="168" t="s">
        <v>417</v>
      </c>
      <c r="D114" s="169"/>
      <c r="E114" s="169"/>
      <c r="F114" s="169"/>
      <c r="G114" s="169"/>
      <c r="H114" s="169"/>
      <c r="I114" s="170"/>
      <c r="J114" s="169"/>
      <c r="K114" s="169"/>
      <c r="L114" s="169"/>
      <c r="M114" s="171"/>
      <c r="N114" s="5"/>
    </row>
    <row r="115" spans="1:64" x14ac:dyDescent="0.2">
      <c r="A115" s="4" t="s">
        <v>56</v>
      </c>
      <c r="B115" s="13" t="s">
        <v>208</v>
      </c>
      <c r="C115" s="164" t="s">
        <v>418</v>
      </c>
      <c r="D115" s="165"/>
      <c r="E115" s="165"/>
      <c r="F115" s="165"/>
      <c r="G115" s="13" t="s">
        <v>542</v>
      </c>
      <c r="H115" s="21">
        <v>10</v>
      </c>
      <c r="I115" s="26">
        <v>0</v>
      </c>
      <c r="J115" s="21">
        <f>H115*AO115</f>
        <v>0</v>
      </c>
      <c r="K115" s="21">
        <f>H115*AP115</f>
        <v>0</v>
      </c>
      <c r="L115" s="21">
        <f>H115*I115</f>
        <v>0</v>
      </c>
      <c r="M115" s="102" t="s">
        <v>763</v>
      </c>
      <c r="N115" s="5"/>
      <c r="Z115" s="38">
        <f>IF(AQ115="5",BJ115,0)</f>
        <v>0</v>
      </c>
      <c r="AB115" s="38">
        <f>IF(AQ115="1",BH115,0)</f>
        <v>0</v>
      </c>
      <c r="AC115" s="38">
        <f>IF(AQ115="1",BI115,0)</f>
        <v>0</v>
      </c>
      <c r="AD115" s="38">
        <f>IF(AQ115="7",BH115,0)</f>
        <v>0</v>
      </c>
      <c r="AE115" s="38">
        <f>IF(AQ115="7",BI115,0)</f>
        <v>0</v>
      </c>
      <c r="AF115" s="38">
        <f>IF(AQ115="2",BH115,0)</f>
        <v>0</v>
      </c>
      <c r="AG115" s="38">
        <f>IF(AQ115="2",BI115,0)</f>
        <v>0</v>
      </c>
      <c r="AH115" s="38">
        <f>IF(AQ115="0",BJ115,0)</f>
        <v>0</v>
      </c>
      <c r="AI115" s="37"/>
      <c r="AJ115" s="21">
        <f>IF(AN115=0,L115,0)</f>
        <v>0</v>
      </c>
      <c r="AK115" s="21">
        <f>IF(AN115=12,L115,0)</f>
        <v>0</v>
      </c>
      <c r="AL115" s="21">
        <f>IF(AN115=21,L115,0)</f>
        <v>0</v>
      </c>
      <c r="AN115" s="38">
        <v>12</v>
      </c>
      <c r="AO115" s="38">
        <f>I115*0</f>
        <v>0</v>
      </c>
      <c r="AP115" s="38">
        <f>I115*(1-0)</f>
        <v>0</v>
      </c>
      <c r="AQ115" s="39" t="s">
        <v>7</v>
      </c>
      <c r="AV115" s="38">
        <f>AW115+AX115</f>
        <v>0</v>
      </c>
      <c r="AW115" s="38">
        <f>H115*AO115</f>
        <v>0</v>
      </c>
      <c r="AX115" s="38">
        <f>H115*AP115</f>
        <v>0</v>
      </c>
      <c r="AY115" s="41" t="s">
        <v>594</v>
      </c>
      <c r="AZ115" s="41" t="s">
        <v>614</v>
      </c>
      <c r="BA115" s="37" t="s">
        <v>616</v>
      </c>
      <c r="BC115" s="38">
        <f>AW115+AX115</f>
        <v>0</v>
      </c>
      <c r="BD115" s="38">
        <f>I115/(100-BE115)*100</f>
        <v>0</v>
      </c>
      <c r="BE115" s="38">
        <v>0</v>
      </c>
      <c r="BF115" s="38">
        <f>115</f>
        <v>115</v>
      </c>
      <c r="BH115" s="21">
        <f>H115*AO115</f>
        <v>0</v>
      </c>
      <c r="BI115" s="21">
        <f>H115*AP115</f>
        <v>0</v>
      </c>
      <c r="BJ115" s="21">
        <f>H115*I115</f>
        <v>0</v>
      </c>
      <c r="BK115" s="21" t="s">
        <v>621</v>
      </c>
      <c r="BL115" s="38">
        <v>90</v>
      </c>
    </row>
    <row r="116" spans="1:64" x14ac:dyDescent="0.2">
      <c r="A116" s="5"/>
      <c r="B116" s="14" t="s">
        <v>155</v>
      </c>
      <c r="C116" s="168" t="s">
        <v>411</v>
      </c>
      <c r="D116" s="169"/>
      <c r="E116" s="169"/>
      <c r="F116" s="169"/>
      <c r="G116" s="169"/>
      <c r="H116" s="169"/>
      <c r="I116" s="170"/>
      <c r="J116" s="169"/>
      <c r="K116" s="169"/>
      <c r="L116" s="169"/>
      <c r="M116" s="171"/>
      <c r="N116" s="5"/>
    </row>
    <row r="117" spans="1:64" x14ac:dyDescent="0.2">
      <c r="A117" s="85" t="s">
        <v>57</v>
      </c>
      <c r="B117" s="86" t="s">
        <v>213</v>
      </c>
      <c r="C117" s="163" t="s">
        <v>419</v>
      </c>
      <c r="D117" s="165"/>
      <c r="E117" s="165"/>
      <c r="F117" s="165"/>
      <c r="G117" s="86" t="s">
        <v>542</v>
      </c>
      <c r="H117" s="87">
        <v>15</v>
      </c>
      <c r="I117" s="96">
        <v>0</v>
      </c>
      <c r="J117" s="87">
        <f>H117*AO117</f>
        <v>0</v>
      </c>
      <c r="K117" s="87">
        <f>H117*AP117</f>
        <v>0</v>
      </c>
      <c r="L117" s="87">
        <f>H117*I117</f>
        <v>0</v>
      </c>
      <c r="M117" s="102" t="s">
        <v>763</v>
      </c>
      <c r="N117" s="5"/>
      <c r="Z117" s="38">
        <f>IF(AQ117="5",BJ117,0)</f>
        <v>0</v>
      </c>
      <c r="AB117" s="38">
        <f>IF(AQ117="1",BH117,0)</f>
        <v>0</v>
      </c>
      <c r="AC117" s="38">
        <f>IF(AQ117="1",BI117,0)</f>
        <v>0</v>
      </c>
      <c r="AD117" s="38">
        <f>IF(AQ117="7",BH117,0)</f>
        <v>0</v>
      </c>
      <c r="AE117" s="38">
        <f>IF(AQ117="7",BI117,0)</f>
        <v>0</v>
      </c>
      <c r="AF117" s="38">
        <f>IF(AQ117="2",BH117,0)</f>
        <v>0</v>
      </c>
      <c r="AG117" s="38">
        <f>IF(AQ117="2",BI117,0)</f>
        <v>0</v>
      </c>
      <c r="AH117" s="38">
        <f>IF(AQ117="0",BJ117,0)</f>
        <v>0</v>
      </c>
      <c r="AI117" s="37"/>
      <c r="AJ117" s="21">
        <f>IF(AN117=0,L117,0)</f>
        <v>0</v>
      </c>
      <c r="AK117" s="21">
        <f>IF(AN117=12,L117,0)</f>
        <v>0</v>
      </c>
      <c r="AL117" s="21">
        <f>IF(AN117=21,L117,0)</f>
        <v>0</v>
      </c>
      <c r="AN117" s="38">
        <v>12</v>
      </c>
      <c r="AO117" s="38">
        <f>I117*0</f>
        <v>0</v>
      </c>
      <c r="AP117" s="38">
        <f>I117*(1-0)</f>
        <v>0</v>
      </c>
      <c r="AQ117" s="39" t="s">
        <v>7</v>
      </c>
      <c r="AV117" s="38">
        <f>AW117+AX117</f>
        <v>0</v>
      </c>
      <c r="AW117" s="38">
        <f>H117*AO117</f>
        <v>0</v>
      </c>
      <c r="AX117" s="38">
        <f>H117*AP117</f>
        <v>0</v>
      </c>
      <c r="AY117" s="41" t="s">
        <v>594</v>
      </c>
      <c r="AZ117" s="41" t="s">
        <v>614</v>
      </c>
      <c r="BA117" s="37" t="s">
        <v>616</v>
      </c>
      <c r="BC117" s="38">
        <f>AW117+AX117</f>
        <v>0</v>
      </c>
      <c r="BD117" s="38">
        <f>I117/(100-BE117)*100</f>
        <v>0</v>
      </c>
      <c r="BE117" s="38">
        <v>0</v>
      </c>
      <c r="BF117" s="38">
        <f>117</f>
        <v>117</v>
      </c>
      <c r="BH117" s="21">
        <f>H117*AO117</f>
        <v>0</v>
      </c>
      <c r="BI117" s="21">
        <f>H117*AP117</f>
        <v>0</v>
      </c>
      <c r="BJ117" s="21">
        <f>H117*I117</f>
        <v>0</v>
      </c>
      <c r="BK117" s="21" t="s">
        <v>621</v>
      </c>
      <c r="BL117" s="38">
        <v>90</v>
      </c>
    </row>
    <row r="118" spans="1:64" x14ac:dyDescent="0.2">
      <c r="A118" s="5"/>
      <c r="B118" s="14" t="s">
        <v>155</v>
      </c>
      <c r="C118" s="168" t="s">
        <v>420</v>
      </c>
      <c r="D118" s="169"/>
      <c r="E118" s="169"/>
      <c r="F118" s="169"/>
      <c r="G118" s="169"/>
      <c r="H118" s="169"/>
      <c r="I118" s="170"/>
      <c r="J118" s="169"/>
      <c r="K118" s="169"/>
      <c r="L118" s="169"/>
      <c r="M118" s="171"/>
      <c r="N118" s="5"/>
    </row>
    <row r="119" spans="1:64" x14ac:dyDescent="0.2">
      <c r="A119" s="6"/>
      <c r="B119" s="15" t="s">
        <v>100</v>
      </c>
      <c r="C119" s="166" t="s">
        <v>421</v>
      </c>
      <c r="D119" s="167"/>
      <c r="E119" s="167"/>
      <c r="F119" s="167"/>
      <c r="G119" s="19" t="s">
        <v>6</v>
      </c>
      <c r="H119" s="19" t="s">
        <v>6</v>
      </c>
      <c r="I119" s="27" t="s">
        <v>6</v>
      </c>
      <c r="J119" s="44">
        <f>SUM(J120:J123)</f>
        <v>0</v>
      </c>
      <c r="K119" s="44">
        <f>SUM(K120:K123)</f>
        <v>0</v>
      </c>
      <c r="L119" s="44">
        <f>SUM(L120:L123)</f>
        <v>0</v>
      </c>
      <c r="M119" s="103"/>
      <c r="N119" s="5"/>
      <c r="AI119" s="37"/>
      <c r="AS119" s="44">
        <f>SUM(AJ120:AJ123)</f>
        <v>0</v>
      </c>
      <c r="AT119" s="44">
        <f>SUM(AK120:AK123)</f>
        <v>0</v>
      </c>
      <c r="AU119" s="44">
        <f>SUM(AL120:AL123)</f>
        <v>0</v>
      </c>
    </row>
    <row r="120" spans="1:64" x14ac:dyDescent="0.2">
      <c r="A120" s="4" t="s">
        <v>58</v>
      </c>
      <c r="B120" s="13" t="s">
        <v>214</v>
      </c>
      <c r="C120" s="164" t="s">
        <v>422</v>
      </c>
      <c r="D120" s="165"/>
      <c r="E120" s="165"/>
      <c r="F120" s="165"/>
      <c r="G120" s="13" t="s">
        <v>541</v>
      </c>
      <c r="H120" s="21">
        <v>150</v>
      </c>
      <c r="I120" s="26">
        <v>0</v>
      </c>
      <c r="J120" s="21">
        <f>H120*AO120</f>
        <v>0</v>
      </c>
      <c r="K120" s="21">
        <f>H120*AP120</f>
        <v>0</v>
      </c>
      <c r="L120" s="21">
        <f>H120*I120</f>
        <v>0</v>
      </c>
      <c r="M120" s="102" t="s">
        <v>763</v>
      </c>
      <c r="N120" s="5"/>
      <c r="Z120" s="38">
        <f>IF(AQ120="5",BJ120,0)</f>
        <v>0</v>
      </c>
      <c r="AB120" s="38">
        <f>IF(AQ120="1",BH120,0)</f>
        <v>0</v>
      </c>
      <c r="AC120" s="38">
        <f>IF(AQ120="1",BI120,0)</f>
        <v>0</v>
      </c>
      <c r="AD120" s="38">
        <f>IF(AQ120="7",BH120,0)</f>
        <v>0</v>
      </c>
      <c r="AE120" s="38">
        <f>IF(AQ120="7",BI120,0)</f>
        <v>0</v>
      </c>
      <c r="AF120" s="38">
        <f>IF(AQ120="2",BH120,0)</f>
        <v>0</v>
      </c>
      <c r="AG120" s="38">
        <f>IF(AQ120="2",BI120,0)</f>
        <v>0</v>
      </c>
      <c r="AH120" s="38">
        <f>IF(AQ120="0",BJ120,0)</f>
        <v>0</v>
      </c>
      <c r="AI120" s="37"/>
      <c r="AJ120" s="21">
        <f>IF(AN120=0,L120,0)</f>
        <v>0</v>
      </c>
      <c r="AK120" s="21">
        <f>IF(AN120=12,L120,0)</f>
        <v>0</v>
      </c>
      <c r="AL120" s="21">
        <f>IF(AN120=21,L120,0)</f>
        <v>0</v>
      </c>
      <c r="AN120" s="38">
        <v>12</v>
      </c>
      <c r="AO120" s="38">
        <f>I120*0.156294277929155</f>
        <v>0</v>
      </c>
      <c r="AP120" s="38">
        <f>I120*(1-0.156294277929155)</f>
        <v>0</v>
      </c>
      <c r="AQ120" s="39" t="s">
        <v>7</v>
      </c>
      <c r="AV120" s="38">
        <f>AW120+AX120</f>
        <v>0</v>
      </c>
      <c r="AW120" s="38">
        <f>H120*AO120</f>
        <v>0</v>
      </c>
      <c r="AX120" s="38">
        <f>H120*AP120</f>
        <v>0</v>
      </c>
      <c r="AY120" s="41" t="s">
        <v>595</v>
      </c>
      <c r="AZ120" s="41" t="s">
        <v>614</v>
      </c>
      <c r="BA120" s="37" t="s">
        <v>616</v>
      </c>
      <c r="BC120" s="38">
        <f>AW120+AX120</f>
        <v>0</v>
      </c>
      <c r="BD120" s="38">
        <f>I120/(100-BE120)*100</f>
        <v>0</v>
      </c>
      <c r="BE120" s="38">
        <v>0</v>
      </c>
      <c r="BF120" s="38">
        <f>120</f>
        <v>120</v>
      </c>
      <c r="BH120" s="21">
        <f>H120*AO120</f>
        <v>0</v>
      </c>
      <c r="BI120" s="21">
        <f>H120*AP120</f>
        <v>0</v>
      </c>
      <c r="BJ120" s="21">
        <f>H120*I120</f>
        <v>0</v>
      </c>
      <c r="BK120" s="21" t="s">
        <v>621</v>
      </c>
      <c r="BL120" s="38">
        <v>94</v>
      </c>
    </row>
    <row r="121" spans="1:64" x14ac:dyDescent="0.2">
      <c r="A121" s="5"/>
      <c r="B121" s="14" t="s">
        <v>155</v>
      </c>
      <c r="C121" s="168" t="s">
        <v>423</v>
      </c>
      <c r="D121" s="169"/>
      <c r="E121" s="169"/>
      <c r="F121" s="169"/>
      <c r="G121" s="169"/>
      <c r="H121" s="169"/>
      <c r="I121" s="170"/>
      <c r="J121" s="169"/>
      <c r="K121" s="169"/>
      <c r="L121" s="169"/>
      <c r="M121" s="171"/>
      <c r="N121" s="5"/>
    </row>
    <row r="122" spans="1:64" x14ac:dyDescent="0.2">
      <c r="A122" s="4" t="s">
        <v>59</v>
      </c>
      <c r="B122" s="13" t="s">
        <v>215</v>
      </c>
      <c r="C122" s="164" t="s">
        <v>424</v>
      </c>
      <c r="D122" s="165"/>
      <c r="E122" s="165"/>
      <c r="F122" s="165"/>
      <c r="G122" s="13" t="s">
        <v>541</v>
      </c>
      <c r="H122" s="21">
        <v>9000</v>
      </c>
      <c r="I122" s="26">
        <v>0</v>
      </c>
      <c r="J122" s="21">
        <f>H122*AO122</f>
        <v>0</v>
      </c>
      <c r="K122" s="21">
        <f>H122*AP122</f>
        <v>0</v>
      </c>
      <c r="L122" s="21">
        <f>H122*I122</f>
        <v>0</v>
      </c>
      <c r="M122" s="102" t="s">
        <v>763</v>
      </c>
      <c r="N122" s="5"/>
      <c r="Z122" s="38">
        <f>IF(AQ122="5",BJ122,0)</f>
        <v>0</v>
      </c>
      <c r="AB122" s="38">
        <f>IF(AQ122="1",BH122,0)</f>
        <v>0</v>
      </c>
      <c r="AC122" s="38">
        <f>IF(AQ122="1",BI122,0)</f>
        <v>0</v>
      </c>
      <c r="AD122" s="38">
        <f>IF(AQ122="7",BH122,0)</f>
        <v>0</v>
      </c>
      <c r="AE122" s="38">
        <f>IF(AQ122="7",BI122,0)</f>
        <v>0</v>
      </c>
      <c r="AF122" s="38">
        <f>IF(AQ122="2",BH122,0)</f>
        <v>0</v>
      </c>
      <c r="AG122" s="38">
        <f>IF(AQ122="2",BI122,0)</f>
        <v>0</v>
      </c>
      <c r="AH122" s="38">
        <f>IF(AQ122="0",BJ122,0)</f>
        <v>0</v>
      </c>
      <c r="AI122" s="37"/>
      <c r="AJ122" s="21">
        <f>IF(AN122=0,L122,0)</f>
        <v>0</v>
      </c>
      <c r="AK122" s="21">
        <f>IF(AN122=12,L122,0)</f>
        <v>0</v>
      </c>
      <c r="AL122" s="21">
        <f>IF(AN122=21,L122,0)</f>
        <v>0</v>
      </c>
      <c r="AN122" s="38">
        <v>12</v>
      </c>
      <c r="AO122" s="38">
        <f>I122*0</f>
        <v>0</v>
      </c>
      <c r="AP122" s="38">
        <f>I122*(1-0)</f>
        <v>0</v>
      </c>
      <c r="AQ122" s="39" t="s">
        <v>7</v>
      </c>
      <c r="AV122" s="38">
        <f>AW122+AX122</f>
        <v>0</v>
      </c>
      <c r="AW122" s="38">
        <f>H122*AO122</f>
        <v>0</v>
      </c>
      <c r="AX122" s="38">
        <f>H122*AP122</f>
        <v>0</v>
      </c>
      <c r="AY122" s="41" t="s">
        <v>595</v>
      </c>
      <c r="AZ122" s="41" t="s">
        <v>614</v>
      </c>
      <c r="BA122" s="37" t="s">
        <v>616</v>
      </c>
      <c r="BC122" s="38">
        <f>AW122+AX122</f>
        <v>0</v>
      </c>
      <c r="BD122" s="38">
        <f>I122/(100-BE122)*100</f>
        <v>0</v>
      </c>
      <c r="BE122" s="38">
        <v>0</v>
      </c>
      <c r="BF122" s="38">
        <f>122</f>
        <v>122</v>
      </c>
      <c r="BH122" s="21">
        <f>H122*AO122</f>
        <v>0</v>
      </c>
      <c r="BI122" s="21">
        <f>H122*AP122</f>
        <v>0</v>
      </c>
      <c r="BJ122" s="21">
        <f>H122*I122</f>
        <v>0</v>
      </c>
      <c r="BK122" s="21" t="s">
        <v>621</v>
      </c>
      <c r="BL122" s="38">
        <v>94</v>
      </c>
    </row>
    <row r="123" spans="1:64" x14ac:dyDescent="0.2">
      <c r="A123" s="4" t="s">
        <v>60</v>
      </c>
      <c r="B123" s="13" t="s">
        <v>216</v>
      </c>
      <c r="C123" s="164" t="s">
        <v>425</v>
      </c>
      <c r="D123" s="165"/>
      <c r="E123" s="165"/>
      <c r="F123" s="165"/>
      <c r="G123" s="13" t="s">
        <v>541</v>
      </c>
      <c r="H123" s="21">
        <v>150</v>
      </c>
      <c r="I123" s="26">
        <v>0</v>
      </c>
      <c r="J123" s="21">
        <f>H123*AO123</f>
        <v>0</v>
      </c>
      <c r="K123" s="21">
        <f>H123*AP123</f>
        <v>0</v>
      </c>
      <c r="L123" s="21">
        <f>H123*I123</f>
        <v>0</v>
      </c>
      <c r="M123" s="102" t="s">
        <v>763</v>
      </c>
      <c r="N123" s="5"/>
      <c r="Z123" s="38">
        <f>IF(AQ123="5",BJ123,0)</f>
        <v>0</v>
      </c>
      <c r="AB123" s="38">
        <f>IF(AQ123="1",BH123,0)</f>
        <v>0</v>
      </c>
      <c r="AC123" s="38">
        <f>IF(AQ123="1",BI123,0)</f>
        <v>0</v>
      </c>
      <c r="AD123" s="38">
        <f>IF(AQ123="7",BH123,0)</f>
        <v>0</v>
      </c>
      <c r="AE123" s="38">
        <f>IF(AQ123="7",BI123,0)</f>
        <v>0</v>
      </c>
      <c r="AF123" s="38">
        <f>IF(AQ123="2",BH123,0)</f>
        <v>0</v>
      </c>
      <c r="AG123" s="38">
        <f>IF(AQ123="2",BI123,0)</f>
        <v>0</v>
      </c>
      <c r="AH123" s="38">
        <f>IF(AQ123="0",BJ123,0)</f>
        <v>0</v>
      </c>
      <c r="AI123" s="37"/>
      <c r="AJ123" s="21">
        <f>IF(AN123=0,L123,0)</f>
        <v>0</v>
      </c>
      <c r="AK123" s="21">
        <f>IF(AN123=12,L123,0)</f>
        <v>0</v>
      </c>
      <c r="AL123" s="21">
        <f>IF(AN123=21,L123,0)</f>
        <v>0</v>
      </c>
      <c r="AN123" s="38">
        <v>12</v>
      </c>
      <c r="AO123" s="38">
        <f>I123*0.412315521628499</f>
        <v>0</v>
      </c>
      <c r="AP123" s="38">
        <f>I123*(1-0.412315521628499)</f>
        <v>0</v>
      </c>
      <c r="AQ123" s="39" t="s">
        <v>7</v>
      </c>
      <c r="AV123" s="38">
        <f>AW123+AX123</f>
        <v>0</v>
      </c>
      <c r="AW123" s="38">
        <f>H123*AO123</f>
        <v>0</v>
      </c>
      <c r="AX123" s="38">
        <f>H123*AP123</f>
        <v>0</v>
      </c>
      <c r="AY123" s="41" t="s">
        <v>595</v>
      </c>
      <c r="AZ123" s="41" t="s">
        <v>614</v>
      </c>
      <c r="BA123" s="37" t="s">
        <v>616</v>
      </c>
      <c r="BC123" s="38">
        <f>AW123+AX123</f>
        <v>0</v>
      </c>
      <c r="BD123" s="38">
        <f>I123/(100-BE123)*100</f>
        <v>0</v>
      </c>
      <c r="BE123" s="38">
        <v>0</v>
      </c>
      <c r="BF123" s="38">
        <f>123</f>
        <v>123</v>
      </c>
      <c r="BH123" s="21">
        <f>H123*AO123</f>
        <v>0</v>
      </c>
      <c r="BI123" s="21">
        <f>H123*AP123</f>
        <v>0</v>
      </c>
      <c r="BJ123" s="21">
        <f>H123*I123</f>
        <v>0</v>
      </c>
      <c r="BK123" s="21" t="s">
        <v>621</v>
      </c>
      <c r="BL123" s="38">
        <v>94</v>
      </c>
    </row>
    <row r="124" spans="1:64" x14ac:dyDescent="0.2">
      <c r="A124" s="6"/>
      <c r="B124" s="15" t="s">
        <v>101</v>
      </c>
      <c r="C124" s="166" t="s">
        <v>426</v>
      </c>
      <c r="D124" s="167"/>
      <c r="E124" s="167"/>
      <c r="F124" s="167"/>
      <c r="G124" s="19" t="s">
        <v>6</v>
      </c>
      <c r="H124" s="19" t="s">
        <v>6</v>
      </c>
      <c r="I124" s="27" t="s">
        <v>6</v>
      </c>
      <c r="J124" s="44">
        <f>SUM(J125:J125)</f>
        <v>0</v>
      </c>
      <c r="K124" s="44">
        <f>SUM(K125:K125)</f>
        <v>0</v>
      </c>
      <c r="L124" s="44">
        <f>SUM(L125:L125)</f>
        <v>0</v>
      </c>
      <c r="M124" s="103"/>
      <c r="N124" s="5"/>
      <c r="AI124" s="37"/>
      <c r="AS124" s="44">
        <f>SUM(AJ125:AJ125)</f>
        <v>0</v>
      </c>
      <c r="AT124" s="44">
        <f>SUM(AK125:AK125)</f>
        <v>0</v>
      </c>
      <c r="AU124" s="44">
        <f>SUM(AL125:AL125)</f>
        <v>0</v>
      </c>
    </row>
    <row r="125" spans="1:64" x14ac:dyDescent="0.2">
      <c r="A125" s="4" t="s">
        <v>61</v>
      </c>
      <c r="B125" s="13" t="s">
        <v>217</v>
      </c>
      <c r="C125" s="164" t="s">
        <v>427</v>
      </c>
      <c r="D125" s="165"/>
      <c r="E125" s="165"/>
      <c r="F125" s="165"/>
      <c r="G125" s="13" t="s">
        <v>540</v>
      </c>
      <c r="H125" s="21">
        <v>12</v>
      </c>
      <c r="I125" s="26">
        <v>0</v>
      </c>
      <c r="J125" s="21">
        <f>H125*AO125</f>
        <v>0</v>
      </c>
      <c r="K125" s="21">
        <f>H125*AP125</f>
        <v>0</v>
      </c>
      <c r="L125" s="21">
        <f>H125*I125</f>
        <v>0</v>
      </c>
      <c r="M125" s="102" t="s">
        <v>763</v>
      </c>
      <c r="N125" s="5"/>
      <c r="Z125" s="38">
        <f>IF(AQ125="5",BJ125,0)</f>
        <v>0</v>
      </c>
      <c r="AB125" s="38">
        <f>IF(AQ125="1",BH125,0)</f>
        <v>0</v>
      </c>
      <c r="AC125" s="38">
        <f>IF(AQ125="1",BI125,0)</f>
        <v>0</v>
      </c>
      <c r="AD125" s="38">
        <f>IF(AQ125="7",BH125,0)</f>
        <v>0</v>
      </c>
      <c r="AE125" s="38">
        <f>IF(AQ125="7",BI125,0)</f>
        <v>0</v>
      </c>
      <c r="AF125" s="38">
        <f>IF(AQ125="2",BH125,0)</f>
        <v>0</v>
      </c>
      <c r="AG125" s="38">
        <f>IF(AQ125="2",BI125,0)</f>
        <v>0</v>
      </c>
      <c r="AH125" s="38">
        <f>IF(AQ125="0",BJ125,0)</f>
        <v>0</v>
      </c>
      <c r="AI125" s="37"/>
      <c r="AJ125" s="21">
        <f>IF(AN125=0,L125,0)</f>
        <v>0</v>
      </c>
      <c r="AK125" s="21">
        <f>IF(AN125=12,L125,0)</f>
        <v>0</v>
      </c>
      <c r="AL125" s="21">
        <f>IF(AN125=21,L125,0)</f>
        <v>0</v>
      </c>
      <c r="AN125" s="38">
        <v>12</v>
      </c>
      <c r="AO125" s="38">
        <f>I125*0.53</f>
        <v>0</v>
      </c>
      <c r="AP125" s="38">
        <f>I125*(1-0.53)</f>
        <v>0</v>
      </c>
      <c r="AQ125" s="39" t="s">
        <v>7</v>
      </c>
      <c r="AV125" s="38">
        <f>AW125+AX125</f>
        <v>0</v>
      </c>
      <c r="AW125" s="38">
        <f>H125*AO125</f>
        <v>0</v>
      </c>
      <c r="AX125" s="38">
        <f>H125*AP125</f>
        <v>0</v>
      </c>
      <c r="AY125" s="41" t="s">
        <v>596</v>
      </c>
      <c r="AZ125" s="41" t="s">
        <v>614</v>
      </c>
      <c r="BA125" s="37" t="s">
        <v>616</v>
      </c>
      <c r="BC125" s="38">
        <f>AW125+AX125</f>
        <v>0</v>
      </c>
      <c r="BD125" s="38">
        <f>I125/(100-BE125)*100</f>
        <v>0</v>
      </c>
      <c r="BE125" s="38">
        <v>0</v>
      </c>
      <c r="BF125" s="38">
        <f>125</f>
        <v>125</v>
      </c>
      <c r="BH125" s="21">
        <f>H125*AO125</f>
        <v>0</v>
      </c>
      <c r="BI125" s="21">
        <f>H125*AP125</f>
        <v>0</v>
      </c>
      <c r="BJ125" s="21">
        <f>H125*I125</f>
        <v>0</v>
      </c>
      <c r="BK125" s="21" t="s">
        <v>621</v>
      </c>
      <c r="BL125" s="38">
        <v>95</v>
      </c>
    </row>
    <row r="126" spans="1:64" x14ac:dyDescent="0.2">
      <c r="A126" s="5"/>
      <c r="B126" s="14" t="s">
        <v>155</v>
      </c>
      <c r="C126" s="168" t="s">
        <v>428</v>
      </c>
      <c r="D126" s="169"/>
      <c r="E126" s="169"/>
      <c r="F126" s="169"/>
      <c r="G126" s="169"/>
      <c r="H126" s="169"/>
      <c r="I126" s="170"/>
      <c r="J126" s="169"/>
      <c r="K126" s="169"/>
      <c r="L126" s="169"/>
      <c r="M126" s="171"/>
      <c r="N126" s="5"/>
    </row>
    <row r="127" spans="1:64" x14ac:dyDescent="0.2">
      <c r="A127" s="6"/>
      <c r="B127" s="15" t="s">
        <v>102</v>
      </c>
      <c r="C127" s="166" t="s">
        <v>429</v>
      </c>
      <c r="D127" s="167"/>
      <c r="E127" s="167"/>
      <c r="F127" s="167"/>
      <c r="G127" s="19" t="s">
        <v>6</v>
      </c>
      <c r="H127" s="19" t="s">
        <v>6</v>
      </c>
      <c r="I127" s="27" t="s">
        <v>6</v>
      </c>
      <c r="J127" s="44">
        <f>SUM(J128:J131)</f>
        <v>0</v>
      </c>
      <c r="K127" s="44">
        <f>SUM(K128:K131)</f>
        <v>0</v>
      </c>
      <c r="L127" s="44">
        <f>SUM(L128:L131)</f>
        <v>0</v>
      </c>
      <c r="M127" s="103"/>
      <c r="N127" s="5"/>
      <c r="AI127" s="37"/>
      <c r="AS127" s="44">
        <f>SUM(AJ128:AJ131)</f>
        <v>0</v>
      </c>
      <c r="AT127" s="44">
        <f>SUM(AK128:AK131)</f>
        <v>0</v>
      </c>
      <c r="AU127" s="44">
        <f>SUM(AL128:AL131)</f>
        <v>0</v>
      </c>
    </row>
    <row r="128" spans="1:64" x14ac:dyDescent="0.2">
      <c r="A128" s="4" t="s">
        <v>62</v>
      </c>
      <c r="B128" s="13" t="s">
        <v>218</v>
      </c>
      <c r="C128" s="164" t="s">
        <v>430</v>
      </c>
      <c r="D128" s="165"/>
      <c r="E128" s="165"/>
      <c r="F128" s="165"/>
      <c r="G128" s="13" t="s">
        <v>540</v>
      </c>
      <c r="H128" s="21">
        <v>7</v>
      </c>
      <c r="I128" s="26">
        <v>0</v>
      </c>
      <c r="J128" s="21">
        <f>H128*AO128</f>
        <v>0</v>
      </c>
      <c r="K128" s="21">
        <f>H128*AP128</f>
        <v>0</v>
      </c>
      <c r="L128" s="21">
        <f>H128*I128</f>
        <v>0</v>
      </c>
      <c r="M128" s="102" t="s">
        <v>763</v>
      </c>
      <c r="N128" s="5"/>
      <c r="Z128" s="38">
        <f>IF(AQ128="5",BJ128,0)</f>
        <v>0</v>
      </c>
      <c r="AB128" s="38">
        <f>IF(AQ128="1",BH128,0)</f>
        <v>0</v>
      </c>
      <c r="AC128" s="38">
        <f>IF(AQ128="1",BI128,0)</f>
        <v>0</v>
      </c>
      <c r="AD128" s="38">
        <f>IF(AQ128="7",BH128,0)</f>
        <v>0</v>
      </c>
      <c r="AE128" s="38">
        <f>IF(AQ128="7",BI128,0)</f>
        <v>0</v>
      </c>
      <c r="AF128" s="38">
        <f>IF(AQ128="2",BH128,0)</f>
        <v>0</v>
      </c>
      <c r="AG128" s="38">
        <f>IF(AQ128="2",BI128,0)</f>
        <v>0</v>
      </c>
      <c r="AH128" s="38">
        <f>IF(AQ128="0",BJ128,0)</f>
        <v>0</v>
      </c>
      <c r="AI128" s="37"/>
      <c r="AJ128" s="21">
        <f>IF(AN128=0,L128,0)</f>
        <v>0</v>
      </c>
      <c r="AK128" s="21">
        <f>IF(AN128=12,L128,0)</f>
        <v>0</v>
      </c>
      <c r="AL128" s="21">
        <f>IF(AN128=21,L128,0)</f>
        <v>0</v>
      </c>
      <c r="AN128" s="38">
        <v>12</v>
      </c>
      <c r="AO128" s="38">
        <f>I128*0</f>
        <v>0</v>
      </c>
      <c r="AP128" s="38">
        <f>I128*(1-0)</f>
        <v>0</v>
      </c>
      <c r="AQ128" s="39" t="s">
        <v>7</v>
      </c>
      <c r="AV128" s="38">
        <f>AW128+AX128</f>
        <v>0</v>
      </c>
      <c r="AW128" s="38">
        <f>H128*AO128</f>
        <v>0</v>
      </c>
      <c r="AX128" s="38">
        <f>H128*AP128</f>
        <v>0</v>
      </c>
      <c r="AY128" s="41" t="s">
        <v>597</v>
      </c>
      <c r="AZ128" s="41" t="s">
        <v>614</v>
      </c>
      <c r="BA128" s="37" t="s">
        <v>616</v>
      </c>
      <c r="BC128" s="38">
        <f>AW128+AX128</f>
        <v>0</v>
      </c>
      <c r="BD128" s="38">
        <f>I128/(100-BE128)*100</f>
        <v>0</v>
      </c>
      <c r="BE128" s="38">
        <v>0</v>
      </c>
      <c r="BF128" s="38">
        <f>128</f>
        <v>128</v>
      </c>
      <c r="BH128" s="21">
        <f>H128*AO128</f>
        <v>0</v>
      </c>
      <c r="BI128" s="21">
        <f>H128*AP128</f>
        <v>0</v>
      </c>
      <c r="BJ128" s="21">
        <f>H128*I128</f>
        <v>0</v>
      </c>
      <c r="BK128" s="21" t="s">
        <v>621</v>
      </c>
      <c r="BL128" s="38">
        <v>96</v>
      </c>
    </row>
    <row r="129" spans="1:64" x14ac:dyDescent="0.2">
      <c r="A129" s="4" t="s">
        <v>63</v>
      </c>
      <c r="B129" s="13" t="s">
        <v>219</v>
      </c>
      <c r="C129" s="164" t="s">
        <v>431</v>
      </c>
      <c r="D129" s="165"/>
      <c r="E129" s="165"/>
      <c r="F129" s="165"/>
      <c r="G129" s="13" t="s">
        <v>541</v>
      </c>
      <c r="H129" s="21">
        <v>10.5</v>
      </c>
      <c r="I129" s="26">
        <v>0</v>
      </c>
      <c r="J129" s="21">
        <f>H129*AO129</f>
        <v>0</v>
      </c>
      <c r="K129" s="21">
        <f>H129*AP129</f>
        <v>0</v>
      </c>
      <c r="L129" s="21">
        <f>H129*I129</f>
        <v>0</v>
      </c>
      <c r="M129" s="102" t="s">
        <v>763</v>
      </c>
      <c r="N129" s="5"/>
      <c r="Z129" s="38">
        <f>IF(AQ129="5",BJ129,0)</f>
        <v>0</v>
      </c>
      <c r="AB129" s="38">
        <f>IF(AQ129="1",BH129,0)</f>
        <v>0</v>
      </c>
      <c r="AC129" s="38">
        <f>IF(AQ129="1",BI129,0)</f>
        <v>0</v>
      </c>
      <c r="AD129" s="38">
        <f>IF(AQ129="7",BH129,0)</f>
        <v>0</v>
      </c>
      <c r="AE129" s="38">
        <f>IF(AQ129="7",BI129,0)</f>
        <v>0</v>
      </c>
      <c r="AF129" s="38">
        <f>IF(AQ129="2",BH129,0)</f>
        <v>0</v>
      </c>
      <c r="AG129" s="38">
        <f>IF(AQ129="2",BI129,0)</f>
        <v>0</v>
      </c>
      <c r="AH129" s="38">
        <f>IF(AQ129="0",BJ129,0)</f>
        <v>0</v>
      </c>
      <c r="AI129" s="37"/>
      <c r="AJ129" s="21">
        <f>IF(AN129=0,L129,0)</f>
        <v>0</v>
      </c>
      <c r="AK129" s="21">
        <f>IF(AN129=12,L129,0)</f>
        <v>0</v>
      </c>
      <c r="AL129" s="21">
        <f>IF(AN129=21,L129,0)</f>
        <v>0</v>
      </c>
      <c r="AN129" s="38">
        <v>12</v>
      </c>
      <c r="AO129" s="38">
        <f>I129*0.101614757239039</f>
        <v>0</v>
      </c>
      <c r="AP129" s="38">
        <f>I129*(1-0.101614757239039)</f>
        <v>0</v>
      </c>
      <c r="AQ129" s="39" t="s">
        <v>7</v>
      </c>
      <c r="AV129" s="38">
        <f>AW129+AX129</f>
        <v>0</v>
      </c>
      <c r="AW129" s="38">
        <f>H129*AO129</f>
        <v>0</v>
      </c>
      <c r="AX129" s="38">
        <f>H129*AP129</f>
        <v>0</v>
      </c>
      <c r="AY129" s="41" t="s">
        <v>597</v>
      </c>
      <c r="AZ129" s="41" t="s">
        <v>614</v>
      </c>
      <c r="BA129" s="37" t="s">
        <v>616</v>
      </c>
      <c r="BC129" s="38">
        <f>AW129+AX129</f>
        <v>0</v>
      </c>
      <c r="BD129" s="38">
        <f>I129/(100-BE129)*100</f>
        <v>0</v>
      </c>
      <c r="BE129" s="38">
        <v>0</v>
      </c>
      <c r="BF129" s="38">
        <f>129</f>
        <v>129</v>
      </c>
      <c r="BH129" s="21">
        <f>H129*AO129</f>
        <v>0</v>
      </c>
      <c r="BI129" s="21">
        <f>H129*AP129</f>
        <v>0</v>
      </c>
      <c r="BJ129" s="21">
        <f>H129*I129</f>
        <v>0</v>
      </c>
      <c r="BK129" s="21" t="s">
        <v>621</v>
      </c>
      <c r="BL129" s="38">
        <v>96</v>
      </c>
    </row>
    <row r="130" spans="1:64" x14ac:dyDescent="0.2">
      <c r="A130" s="4" t="s">
        <v>64</v>
      </c>
      <c r="B130" s="13" t="s">
        <v>220</v>
      </c>
      <c r="C130" s="164" t="s">
        <v>432</v>
      </c>
      <c r="D130" s="165"/>
      <c r="E130" s="165"/>
      <c r="F130" s="165"/>
      <c r="G130" s="13" t="s">
        <v>541</v>
      </c>
      <c r="H130" s="21">
        <v>36.75</v>
      </c>
      <c r="I130" s="26">
        <v>0</v>
      </c>
      <c r="J130" s="21">
        <f>H130*AO130</f>
        <v>0</v>
      </c>
      <c r="K130" s="21">
        <f>H130*AP130</f>
        <v>0</v>
      </c>
      <c r="L130" s="21">
        <f>H130*I130</f>
        <v>0</v>
      </c>
      <c r="M130" s="102" t="s">
        <v>763</v>
      </c>
      <c r="N130" s="5"/>
      <c r="Z130" s="38">
        <f>IF(AQ130="5",BJ130,0)</f>
        <v>0</v>
      </c>
      <c r="AB130" s="38">
        <f>IF(AQ130="1",BH130,0)</f>
        <v>0</v>
      </c>
      <c r="AC130" s="38">
        <f>IF(AQ130="1",BI130,0)</f>
        <v>0</v>
      </c>
      <c r="AD130" s="38">
        <f>IF(AQ130="7",BH130,0)</f>
        <v>0</v>
      </c>
      <c r="AE130" s="38">
        <f>IF(AQ130="7",BI130,0)</f>
        <v>0</v>
      </c>
      <c r="AF130" s="38">
        <f>IF(AQ130="2",BH130,0)</f>
        <v>0</v>
      </c>
      <c r="AG130" s="38">
        <f>IF(AQ130="2",BI130,0)</f>
        <v>0</v>
      </c>
      <c r="AH130" s="38">
        <f>IF(AQ130="0",BJ130,0)</f>
        <v>0</v>
      </c>
      <c r="AI130" s="37"/>
      <c r="AJ130" s="21">
        <f>IF(AN130=0,L130,0)</f>
        <v>0</v>
      </c>
      <c r="AK130" s="21">
        <f>IF(AN130=12,L130,0)</f>
        <v>0</v>
      </c>
      <c r="AL130" s="21">
        <f>IF(AN130=21,L130,0)</f>
        <v>0</v>
      </c>
      <c r="AN130" s="38">
        <v>12</v>
      </c>
      <c r="AO130" s="38">
        <f>I130*0.0591245249551983</f>
        <v>0</v>
      </c>
      <c r="AP130" s="38">
        <f>I130*(1-0.0591245249551983)</f>
        <v>0</v>
      </c>
      <c r="AQ130" s="39" t="s">
        <v>7</v>
      </c>
      <c r="AV130" s="38">
        <f>AW130+AX130</f>
        <v>0</v>
      </c>
      <c r="AW130" s="38">
        <f>H130*AO130</f>
        <v>0</v>
      </c>
      <c r="AX130" s="38">
        <f>H130*AP130</f>
        <v>0</v>
      </c>
      <c r="AY130" s="41" t="s">
        <v>597</v>
      </c>
      <c r="AZ130" s="41" t="s">
        <v>614</v>
      </c>
      <c r="BA130" s="37" t="s">
        <v>616</v>
      </c>
      <c r="BC130" s="38">
        <f>AW130+AX130</f>
        <v>0</v>
      </c>
      <c r="BD130" s="38">
        <f>I130/(100-BE130)*100</f>
        <v>0</v>
      </c>
      <c r="BE130" s="38">
        <v>0</v>
      </c>
      <c r="BF130" s="38">
        <f>130</f>
        <v>130</v>
      </c>
      <c r="BH130" s="21">
        <f>H130*AO130</f>
        <v>0</v>
      </c>
      <c r="BI130" s="21">
        <f>H130*AP130</f>
        <v>0</v>
      </c>
      <c r="BJ130" s="21">
        <f>H130*I130</f>
        <v>0</v>
      </c>
      <c r="BK130" s="21" t="s">
        <v>621</v>
      </c>
      <c r="BL130" s="38">
        <v>96</v>
      </c>
    </row>
    <row r="131" spans="1:64" x14ac:dyDescent="0.2">
      <c r="A131" s="4" t="s">
        <v>65</v>
      </c>
      <c r="B131" s="13" t="s">
        <v>221</v>
      </c>
      <c r="C131" s="164" t="s">
        <v>433</v>
      </c>
      <c r="D131" s="165"/>
      <c r="E131" s="165"/>
      <c r="F131" s="165"/>
      <c r="G131" s="13" t="s">
        <v>541</v>
      </c>
      <c r="H131" s="21">
        <v>22.8</v>
      </c>
      <c r="I131" s="26">
        <v>0</v>
      </c>
      <c r="J131" s="21">
        <f>H131*AO131</f>
        <v>0</v>
      </c>
      <c r="K131" s="21">
        <f>H131*AP131</f>
        <v>0</v>
      </c>
      <c r="L131" s="21">
        <f>H131*I131</f>
        <v>0</v>
      </c>
      <c r="M131" s="102" t="s">
        <v>763</v>
      </c>
      <c r="N131" s="5"/>
      <c r="Z131" s="38">
        <f>IF(AQ131="5",BJ131,0)</f>
        <v>0</v>
      </c>
      <c r="AB131" s="38">
        <f>IF(AQ131="1",BH131,0)</f>
        <v>0</v>
      </c>
      <c r="AC131" s="38">
        <f>IF(AQ131="1",BI131,0)</f>
        <v>0</v>
      </c>
      <c r="AD131" s="38">
        <f>IF(AQ131="7",BH131,0)</f>
        <v>0</v>
      </c>
      <c r="AE131" s="38">
        <f>IF(AQ131="7",BI131,0)</f>
        <v>0</v>
      </c>
      <c r="AF131" s="38">
        <f>IF(AQ131="2",BH131,0)</f>
        <v>0</v>
      </c>
      <c r="AG131" s="38">
        <f>IF(AQ131="2",BI131,0)</f>
        <v>0</v>
      </c>
      <c r="AH131" s="38">
        <f>IF(AQ131="0",BJ131,0)</f>
        <v>0</v>
      </c>
      <c r="AI131" s="37"/>
      <c r="AJ131" s="21">
        <f>IF(AN131=0,L131,0)</f>
        <v>0</v>
      </c>
      <c r="AK131" s="21">
        <f>IF(AN131=12,L131,0)</f>
        <v>0</v>
      </c>
      <c r="AL131" s="21">
        <f>IF(AN131=21,L131,0)</f>
        <v>0</v>
      </c>
      <c r="AN131" s="38">
        <v>12</v>
      </c>
      <c r="AO131" s="38">
        <f>I131*0.0479754974680238</f>
        <v>0</v>
      </c>
      <c r="AP131" s="38">
        <f>I131*(1-0.0479754974680238)</f>
        <v>0</v>
      </c>
      <c r="AQ131" s="39" t="s">
        <v>7</v>
      </c>
      <c r="AV131" s="38">
        <f>AW131+AX131</f>
        <v>0</v>
      </c>
      <c r="AW131" s="38">
        <f>H131*AO131</f>
        <v>0</v>
      </c>
      <c r="AX131" s="38">
        <f>H131*AP131</f>
        <v>0</v>
      </c>
      <c r="AY131" s="41" t="s">
        <v>597</v>
      </c>
      <c r="AZ131" s="41" t="s">
        <v>614</v>
      </c>
      <c r="BA131" s="37" t="s">
        <v>616</v>
      </c>
      <c r="BC131" s="38">
        <f>AW131+AX131</f>
        <v>0</v>
      </c>
      <c r="BD131" s="38">
        <f>I131/(100-BE131)*100</f>
        <v>0</v>
      </c>
      <c r="BE131" s="38">
        <v>0</v>
      </c>
      <c r="BF131" s="38">
        <f>131</f>
        <v>131</v>
      </c>
      <c r="BH131" s="21">
        <f>H131*AO131</f>
        <v>0</v>
      </c>
      <c r="BI131" s="21">
        <f>H131*AP131</f>
        <v>0</v>
      </c>
      <c r="BJ131" s="21">
        <f>H131*I131</f>
        <v>0</v>
      </c>
      <c r="BK131" s="21" t="s">
        <v>621</v>
      </c>
      <c r="BL131" s="38">
        <v>96</v>
      </c>
    </row>
    <row r="132" spans="1:64" x14ac:dyDescent="0.2">
      <c r="A132" s="6"/>
      <c r="B132" s="15" t="s">
        <v>103</v>
      </c>
      <c r="C132" s="166" t="s">
        <v>434</v>
      </c>
      <c r="D132" s="167"/>
      <c r="E132" s="167"/>
      <c r="F132" s="167"/>
      <c r="G132" s="19" t="s">
        <v>6</v>
      </c>
      <c r="H132" s="19" t="s">
        <v>6</v>
      </c>
      <c r="I132" s="27" t="s">
        <v>6</v>
      </c>
      <c r="J132" s="44">
        <f>SUM(J133:J134)</f>
        <v>0</v>
      </c>
      <c r="K132" s="44">
        <f>SUM(K133:K134)</f>
        <v>0</v>
      </c>
      <c r="L132" s="44">
        <f>SUM(L133:L134)</f>
        <v>0</v>
      </c>
      <c r="M132" s="103"/>
      <c r="N132" s="5"/>
      <c r="AI132" s="37"/>
      <c r="AS132" s="44">
        <f>SUM(AJ133:AJ134)</f>
        <v>0</v>
      </c>
      <c r="AT132" s="44">
        <f>SUM(AK133:AK134)</f>
        <v>0</v>
      </c>
      <c r="AU132" s="44">
        <f>SUM(AL133:AL134)</f>
        <v>0</v>
      </c>
    </row>
    <row r="133" spans="1:64" x14ac:dyDescent="0.2">
      <c r="A133" s="4" t="s">
        <v>66</v>
      </c>
      <c r="B133" s="13" t="s">
        <v>222</v>
      </c>
      <c r="C133" s="164" t="s">
        <v>435</v>
      </c>
      <c r="D133" s="165"/>
      <c r="E133" s="165"/>
      <c r="F133" s="165"/>
      <c r="G133" s="13" t="s">
        <v>537</v>
      </c>
      <c r="H133" s="21">
        <v>7</v>
      </c>
      <c r="I133" s="26">
        <v>0</v>
      </c>
      <c r="J133" s="21">
        <f>H133*AO133</f>
        <v>0</v>
      </c>
      <c r="K133" s="21">
        <f>H133*AP133</f>
        <v>0</v>
      </c>
      <c r="L133" s="21">
        <f>H133*I133</f>
        <v>0</v>
      </c>
      <c r="M133" s="102" t="s">
        <v>763</v>
      </c>
      <c r="N133" s="5"/>
      <c r="Z133" s="38">
        <f>IF(AQ133="5",BJ133,0)</f>
        <v>0</v>
      </c>
      <c r="AB133" s="38">
        <f>IF(AQ133="1",BH133,0)</f>
        <v>0</v>
      </c>
      <c r="AC133" s="38">
        <f>IF(AQ133="1",BI133,0)</f>
        <v>0</v>
      </c>
      <c r="AD133" s="38">
        <f>IF(AQ133="7",BH133,0)</f>
        <v>0</v>
      </c>
      <c r="AE133" s="38">
        <f>IF(AQ133="7",BI133,0)</f>
        <v>0</v>
      </c>
      <c r="AF133" s="38">
        <f>IF(AQ133="2",BH133,0)</f>
        <v>0</v>
      </c>
      <c r="AG133" s="38">
        <f>IF(AQ133="2",BI133,0)</f>
        <v>0</v>
      </c>
      <c r="AH133" s="38">
        <f>IF(AQ133="0",BJ133,0)</f>
        <v>0</v>
      </c>
      <c r="AI133" s="37"/>
      <c r="AJ133" s="21">
        <f>IF(AN133=0,L133,0)</f>
        <v>0</v>
      </c>
      <c r="AK133" s="21">
        <f>IF(AN133=12,L133,0)</f>
        <v>0</v>
      </c>
      <c r="AL133" s="21">
        <f>IF(AN133=21,L133,0)</f>
        <v>0</v>
      </c>
      <c r="AN133" s="38">
        <v>12</v>
      </c>
      <c r="AO133" s="38">
        <f>I133*0.162034739454094</f>
        <v>0</v>
      </c>
      <c r="AP133" s="38">
        <f>I133*(1-0.162034739454094)</f>
        <v>0</v>
      </c>
      <c r="AQ133" s="39" t="s">
        <v>7</v>
      </c>
      <c r="AV133" s="38">
        <f>AW133+AX133</f>
        <v>0</v>
      </c>
      <c r="AW133" s="38">
        <f>H133*AO133</f>
        <v>0</v>
      </c>
      <c r="AX133" s="38">
        <f>H133*AP133</f>
        <v>0</v>
      </c>
      <c r="AY133" s="41" t="s">
        <v>598</v>
      </c>
      <c r="AZ133" s="41" t="s">
        <v>614</v>
      </c>
      <c r="BA133" s="37" t="s">
        <v>616</v>
      </c>
      <c r="BC133" s="38">
        <f>AW133+AX133</f>
        <v>0</v>
      </c>
      <c r="BD133" s="38">
        <f>I133/(100-BE133)*100</f>
        <v>0</v>
      </c>
      <c r="BE133" s="38">
        <v>0</v>
      </c>
      <c r="BF133" s="38">
        <f>133</f>
        <v>133</v>
      </c>
      <c r="BH133" s="21">
        <f>H133*AO133</f>
        <v>0</v>
      </c>
      <c r="BI133" s="21">
        <f>H133*AP133</f>
        <v>0</v>
      </c>
      <c r="BJ133" s="21">
        <f>H133*I133</f>
        <v>0</v>
      </c>
      <c r="BK133" s="21" t="s">
        <v>621</v>
      </c>
      <c r="BL133" s="38">
        <v>97</v>
      </c>
    </row>
    <row r="134" spans="1:64" x14ac:dyDescent="0.2">
      <c r="A134" s="4" t="s">
        <v>67</v>
      </c>
      <c r="B134" s="13" t="s">
        <v>223</v>
      </c>
      <c r="C134" s="164" t="s">
        <v>436</v>
      </c>
      <c r="D134" s="165"/>
      <c r="E134" s="165"/>
      <c r="F134" s="165"/>
      <c r="G134" s="13" t="s">
        <v>537</v>
      </c>
      <c r="H134" s="21">
        <v>4</v>
      </c>
      <c r="I134" s="26">
        <v>0</v>
      </c>
      <c r="J134" s="21">
        <f>H134*AO134</f>
        <v>0</v>
      </c>
      <c r="K134" s="21">
        <f>H134*AP134</f>
        <v>0</v>
      </c>
      <c r="L134" s="21">
        <f>H134*I134</f>
        <v>0</v>
      </c>
      <c r="M134" s="102" t="s">
        <v>763</v>
      </c>
      <c r="N134" s="5"/>
      <c r="Z134" s="38">
        <f>IF(AQ134="5",BJ134,0)</f>
        <v>0</v>
      </c>
      <c r="AB134" s="38">
        <f>IF(AQ134="1",BH134,0)</f>
        <v>0</v>
      </c>
      <c r="AC134" s="38">
        <f>IF(AQ134="1",BI134,0)</f>
        <v>0</v>
      </c>
      <c r="AD134" s="38">
        <f>IF(AQ134="7",BH134,0)</f>
        <v>0</v>
      </c>
      <c r="AE134" s="38">
        <f>IF(AQ134="7",BI134,0)</f>
        <v>0</v>
      </c>
      <c r="AF134" s="38">
        <f>IF(AQ134="2",BH134,0)</f>
        <v>0</v>
      </c>
      <c r="AG134" s="38">
        <f>IF(AQ134="2",BI134,0)</f>
        <v>0</v>
      </c>
      <c r="AH134" s="38">
        <f>IF(AQ134="0",BJ134,0)</f>
        <v>0</v>
      </c>
      <c r="AI134" s="37"/>
      <c r="AJ134" s="21">
        <f>IF(AN134=0,L134,0)</f>
        <v>0</v>
      </c>
      <c r="AK134" s="21">
        <f>IF(AN134=12,L134,0)</f>
        <v>0</v>
      </c>
      <c r="AL134" s="21">
        <f>IF(AN134=21,L134,0)</f>
        <v>0</v>
      </c>
      <c r="AN134" s="38">
        <v>12</v>
      </c>
      <c r="AO134" s="38">
        <f>I134*0.103642568050155</f>
        <v>0</v>
      </c>
      <c r="AP134" s="38">
        <f>I134*(1-0.103642568050155)</f>
        <v>0</v>
      </c>
      <c r="AQ134" s="39" t="s">
        <v>7</v>
      </c>
      <c r="AV134" s="38">
        <f>AW134+AX134</f>
        <v>0</v>
      </c>
      <c r="AW134" s="38">
        <f>H134*AO134</f>
        <v>0</v>
      </c>
      <c r="AX134" s="38">
        <f>H134*AP134</f>
        <v>0</v>
      </c>
      <c r="AY134" s="41" t="s">
        <v>598</v>
      </c>
      <c r="AZ134" s="41" t="s">
        <v>614</v>
      </c>
      <c r="BA134" s="37" t="s">
        <v>616</v>
      </c>
      <c r="BC134" s="38">
        <f>AW134+AX134</f>
        <v>0</v>
      </c>
      <c r="BD134" s="38">
        <f>I134/(100-BE134)*100</f>
        <v>0</v>
      </c>
      <c r="BE134" s="38">
        <v>0</v>
      </c>
      <c r="BF134" s="38">
        <f>134</f>
        <v>134</v>
      </c>
      <c r="BH134" s="21">
        <f>H134*AO134</f>
        <v>0</v>
      </c>
      <c r="BI134" s="21">
        <f>H134*AP134</f>
        <v>0</v>
      </c>
      <c r="BJ134" s="21">
        <f>H134*I134</f>
        <v>0</v>
      </c>
      <c r="BK134" s="21" t="s">
        <v>621</v>
      </c>
      <c r="BL134" s="38">
        <v>97</v>
      </c>
    </row>
    <row r="135" spans="1:64" x14ac:dyDescent="0.2">
      <c r="A135" s="6"/>
      <c r="B135" s="15" t="s">
        <v>224</v>
      </c>
      <c r="C135" s="166" t="s">
        <v>437</v>
      </c>
      <c r="D135" s="167"/>
      <c r="E135" s="167"/>
      <c r="F135" s="167"/>
      <c r="G135" s="19" t="s">
        <v>6</v>
      </c>
      <c r="H135" s="19" t="s">
        <v>6</v>
      </c>
      <c r="I135" s="27" t="s">
        <v>6</v>
      </c>
      <c r="J135" s="44">
        <f>SUM(J136:J136)</f>
        <v>0</v>
      </c>
      <c r="K135" s="44">
        <f>SUM(K136:K136)</f>
        <v>0</v>
      </c>
      <c r="L135" s="44">
        <f>SUM(L136:L136)</f>
        <v>0</v>
      </c>
      <c r="M135" s="103"/>
      <c r="N135" s="5"/>
      <c r="AI135" s="37"/>
      <c r="AS135" s="44">
        <f>SUM(AJ136:AJ136)</f>
        <v>0</v>
      </c>
      <c r="AT135" s="44">
        <f>SUM(AK136:AK136)</f>
        <v>0</v>
      </c>
      <c r="AU135" s="44">
        <f>SUM(AL136:AL136)</f>
        <v>0</v>
      </c>
    </row>
    <row r="136" spans="1:64" x14ac:dyDescent="0.2">
      <c r="A136" s="4" t="s">
        <v>68</v>
      </c>
      <c r="B136" s="13" t="s">
        <v>225</v>
      </c>
      <c r="C136" s="164" t="s">
        <v>438</v>
      </c>
      <c r="D136" s="165"/>
      <c r="E136" s="165"/>
      <c r="F136" s="165"/>
      <c r="G136" s="13" t="s">
        <v>538</v>
      </c>
      <c r="H136" s="21">
        <v>64.599999999999994</v>
      </c>
      <c r="I136" s="26">
        <v>0</v>
      </c>
      <c r="J136" s="21">
        <f>H136*AO136</f>
        <v>0</v>
      </c>
      <c r="K136" s="21">
        <f>H136*AP136</f>
        <v>0</v>
      </c>
      <c r="L136" s="21">
        <f>H136*I136</f>
        <v>0</v>
      </c>
      <c r="M136" s="102" t="s">
        <v>763</v>
      </c>
      <c r="N136" s="5"/>
      <c r="Z136" s="38">
        <f>IF(AQ136="5",BJ136,0)</f>
        <v>0</v>
      </c>
      <c r="AB136" s="38">
        <f>IF(AQ136="1",BH136,0)</f>
        <v>0</v>
      </c>
      <c r="AC136" s="38">
        <f>IF(AQ136="1",BI136,0)</f>
        <v>0</v>
      </c>
      <c r="AD136" s="38">
        <f>IF(AQ136="7",BH136,0)</f>
        <v>0</v>
      </c>
      <c r="AE136" s="38">
        <f>IF(AQ136="7",BI136,0)</f>
        <v>0</v>
      </c>
      <c r="AF136" s="38">
        <f>IF(AQ136="2",BH136,0)</f>
        <v>0</v>
      </c>
      <c r="AG136" s="38">
        <f>IF(AQ136="2",BI136,0)</f>
        <v>0</v>
      </c>
      <c r="AH136" s="38">
        <f>IF(AQ136="0",BJ136,0)</f>
        <v>0</v>
      </c>
      <c r="AI136" s="37"/>
      <c r="AJ136" s="21">
        <f>IF(AN136=0,L136,0)</f>
        <v>0</v>
      </c>
      <c r="AK136" s="21">
        <f>IF(AN136=12,L136,0)</f>
        <v>0</v>
      </c>
      <c r="AL136" s="21">
        <f>IF(AN136=21,L136,0)</f>
        <v>0</v>
      </c>
      <c r="AN136" s="38">
        <v>12</v>
      </c>
      <c r="AO136" s="38">
        <f>I136*0</f>
        <v>0</v>
      </c>
      <c r="AP136" s="38">
        <f>I136*(1-0)</f>
        <v>0</v>
      </c>
      <c r="AQ136" s="39" t="s">
        <v>11</v>
      </c>
      <c r="AV136" s="38">
        <f>AW136+AX136</f>
        <v>0</v>
      </c>
      <c r="AW136" s="38">
        <f>H136*AO136</f>
        <v>0</v>
      </c>
      <c r="AX136" s="38">
        <f>H136*AP136</f>
        <v>0</v>
      </c>
      <c r="AY136" s="41" t="s">
        <v>599</v>
      </c>
      <c r="AZ136" s="41" t="s">
        <v>614</v>
      </c>
      <c r="BA136" s="37" t="s">
        <v>616</v>
      </c>
      <c r="BC136" s="38">
        <f>AW136+AX136</f>
        <v>0</v>
      </c>
      <c r="BD136" s="38">
        <f>I136/(100-BE136)*100</f>
        <v>0</v>
      </c>
      <c r="BE136" s="38">
        <v>0</v>
      </c>
      <c r="BF136" s="38">
        <f>136</f>
        <v>136</v>
      </c>
      <c r="BH136" s="21">
        <f>H136*AO136</f>
        <v>0</v>
      </c>
      <c r="BI136" s="21">
        <f>H136*AP136</f>
        <v>0</v>
      </c>
      <c r="BJ136" s="21">
        <f>H136*I136</f>
        <v>0</v>
      </c>
      <c r="BK136" s="21" t="s">
        <v>621</v>
      </c>
      <c r="BL136" s="38" t="s">
        <v>224</v>
      </c>
    </row>
    <row r="137" spans="1:64" x14ac:dyDescent="0.2">
      <c r="A137" s="6"/>
      <c r="B137" s="15" t="s">
        <v>226</v>
      </c>
      <c r="C137" s="166" t="s">
        <v>439</v>
      </c>
      <c r="D137" s="167"/>
      <c r="E137" s="167"/>
      <c r="F137" s="167"/>
      <c r="G137" s="19" t="s">
        <v>6</v>
      </c>
      <c r="H137" s="19" t="s">
        <v>6</v>
      </c>
      <c r="I137" s="27" t="s">
        <v>6</v>
      </c>
      <c r="J137" s="44">
        <f>SUM(J138:J144)</f>
        <v>0</v>
      </c>
      <c r="K137" s="44">
        <f>SUM(K138:K144)</f>
        <v>0</v>
      </c>
      <c r="L137" s="44">
        <f>SUM(L138:L144)</f>
        <v>0</v>
      </c>
      <c r="M137" s="103"/>
      <c r="N137" s="5"/>
      <c r="AI137" s="37"/>
      <c r="AS137" s="44">
        <f>SUM(AJ138:AJ144)</f>
        <v>0</v>
      </c>
      <c r="AT137" s="44">
        <f>SUM(AK138:AK144)</f>
        <v>0</v>
      </c>
      <c r="AU137" s="44">
        <f>SUM(AL138:AL144)</f>
        <v>0</v>
      </c>
    </row>
    <row r="138" spans="1:64" x14ac:dyDescent="0.2">
      <c r="A138" s="4" t="s">
        <v>69</v>
      </c>
      <c r="B138" s="13" t="s">
        <v>227</v>
      </c>
      <c r="C138" s="164" t="s">
        <v>440</v>
      </c>
      <c r="D138" s="165"/>
      <c r="E138" s="165"/>
      <c r="F138" s="165"/>
      <c r="G138" s="13" t="s">
        <v>537</v>
      </c>
      <c r="H138" s="21">
        <v>70</v>
      </c>
      <c r="I138" s="26">
        <v>0</v>
      </c>
      <c r="J138" s="21">
        <f>H138*AO138</f>
        <v>0</v>
      </c>
      <c r="K138" s="21">
        <f>H138*AP138</f>
        <v>0</v>
      </c>
      <c r="L138" s="21">
        <f>H138*I138</f>
        <v>0</v>
      </c>
      <c r="M138" s="102" t="s">
        <v>763</v>
      </c>
      <c r="N138" s="5"/>
      <c r="Z138" s="38">
        <f>IF(AQ138="5",BJ138,0)</f>
        <v>0</v>
      </c>
      <c r="AB138" s="38">
        <f>IF(AQ138="1",BH138,0)</f>
        <v>0</v>
      </c>
      <c r="AC138" s="38">
        <f>IF(AQ138="1",BI138,0)</f>
        <v>0</v>
      </c>
      <c r="AD138" s="38">
        <f>IF(AQ138="7",BH138,0)</f>
        <v>0</v>
      </c>
      <c r="AE138" s="38">
        <f>IF(AQ138="7",BI138,0)</f>
        <v>0</v>
      </c>
      <c r="AF138" s="38">
        <f>IF(AQ138="2",BH138,0)</f>
        <v>0</v>
      </c>
      <c r="AG138" s="38">
        <f>IF(AQ138="2",BI138,0)</f>
        <v>0</v>
      </c>
      <c r="AH138" s="38">
        <f>IF(AQ138="0",BJ138,0)</f>
        <v>0</v>
      </c>
      <c r="AI138" s="37"/>
      <c r="AJ138" s="21">
        <f>IF(AN138=0,L138,0)</f>
        <v>0</v>
      </c>
      <c r="AK138" s="21">
        <f>IF(AN138=12,L138,0)</f>
        <v>0</v>
      </c>
      <c r="AL138" s="21">
        <f>IF(AN138=21,L138,0)</f>
        <v>0</v>
      </c>
      <c r="AN138" s="38">
        <v>12</v>
      </c>
      <c r="AO138" s="38">
        <f>I138*0.435076252723312</f>
        <v>0</v>
      </c>
      <c r="AP138" s="38">
        <f>I138*(1-0.435076252723312)</f>
        <v>0</v>
      </c>
      <c r="AQ138" s="39" t="s">
        <v>8</v>
      </c>
      <c r="AV138" s="38">
        <f>AW138+AX138</f>
        <v>0</v>
      </c>
      <c r="AW138" s="38">
        <f>H138*AO138</f>
        <v>0</v>
      </c>
      <c r="AX138" s="38">
        <f>H138*AP138</f>
        <v>0</v>
      </c>
      <c r="AY138" s="41" t="s">
        <v>600</v>
      </c>
      <c r="AZ138" s="41" t="s">
        <v>614</v>
      </c>
      <c r="BA138" s="37" t="s">
        <v>616</v>
      </c>
      <c r="BC138" s="38">
        <f>AW138+AX138</f>
        <v>0</v>
      </c>
      <c r="BD138" s="38">
        <f>I138/(100-BE138)*100</f>
        <v>0</v>
      </c>
      <c r="BE138" s="38">
        <v>0</v>
      </c>
      <c r="BF138" s="38">
        <f>138</f>
        <v>138</v>
      </c>
      <c r="BH138" s="21">
        <f>H138*AO138</f>
        <v>0</v>
      </c>
      <c r="BI138" s="21">
        <f>H138*AP138</f>
        <v>0</v>
      </c>
      <c r="BJ138" s="21">
        <f>H138*I138</f>
        <v>0</v>
      </c>
      <c r="BK138" s="21" t="s">
        <v>621</v>
      </c>
      <c r="BL138" s="38" t="s">
        <v>226</v>
      </c>
    </row>
    <row r="139" spans="1:64" x14ac:dyDescent="0.2">
      <c r="A139" s="5"/>
      <c r="B139" s="14" t="s">
        <v>155</v>
      </c>
      <c r="C139" s="168" t="s">
        <v>441</v>
      </c>
      <c r="D139" s="169"/>
      <c r="E139" s="169"/>
      <c r="F139" s="169"/>
      <c r="G139" s="169"/>
      <c r="H139" s="169"/>
      <c r="I139" s="170"/>
      <c r="J139" s="169"/>
      <c r="K139" s="169"/>
      <c r="L139" s="169"/>
      <c r="M139" s="171"/>
      <c r="N139" s="5"/>
    </row>
    <row r="140" spans="1:64" x14ac:dyDescent="0.2">
      <c r="A140" s="4" t="s">
        <v>70</v>
      </c>
      <c r="B140" s="13" t="s">
        <v>228</v>
      </c>
      <c r="C140" s="164" t="s">
        <v>442</v>
      </c>
      <c r="D140" s="165"/>
      <c r="E140" s="165"/>
      <c r="F140" s="165"/>
      <c r="G140" s="13" t="s">
        <v>537</v>
      </c>
      <c r="H140" s="21">
        <v>45</v>
      </c>
      <c r="I140" s="26">
        <v>0</v>
      </c>
      <c r="J140" s="21">
        <f>H140*AO140</f>
        <v>0</v>
      </c>
      <c r="K140" s="21">
        <f>H140*AP140</f>
        <v>0</v>
      </c>
      <c r="L140" s="21">
        <f>H140*I140</f>
        <v>0</v>
      </c>
      <c r="M140" s="102" t="s">
        <v>763</v>
      </c>
      <c r="N140" s="5"/>
      <c r="Z140" s="38">
        <f>IF(AQ140="5",BJ140,0)</f>
        <v>0</v>
      </c>
      <c r="AB140" s="38">
        <f>IF(AQ140="1",BH140,0)</f>
        <v>0</v>
      </c>
      <c r="AC140" s="38">
        <f>IF(AQ140="1",BI140,0)</f>
        <v>0</v>
      </c>
      <c r="AD140" s="38">
        <f>IF(AQ140="7",BH140,0)</f>
        <v>0</v>
      </c>
      <c r="AE140" s="38">
        <f>IF(AQ140="7",BI140,0)</f>
        <v>0</v>
      </c>
      <c r="AF140" s="38">
        <f>IF(AQ140="2",BH140,0)</f>
        <v>0</v>
      </c>
      <c r="AG140" s="38">
        <f>IF(AQ140="2",BI140,0)</f>
        <v>0</v>
      </c>
      <c r="AH140" s="38">
        <f>IF(AQ140="0",BJ140,0)</f>
        <v>0</v>
      </c>
      <c r="AI140" s="37"/>
      <c r="AJ140" s="21">
        <f>IF(AN140=0,L140,0)</f>
        <v>0</v>
      </c>
      <c r="AK140" s="21">
        <f>IF(AN140=12,L140,0)</f>
        <v>0</v>
      </c>
      <c r="AL140" s="21">
        <f>IF(AN140=21,L140,0)</f>
        <v>0</v>
      </c>
      <c r="AN140" s="38">
        <v>12</v>
      </c>
      <c r="AO140" s="38">
        <f>I140*0.557508532423208</f>
        <v>0</v>
      </c>
      <c r="AP140" s="38">
        <f>I140*(1-0.557508532423208)</f>
        <v>0</v>
      </c>
      <c r="AQ140" s="39" t="s">
        <v>8</v>
      </c>
      <c r="AV140" s="38">
        <f>AW140+AX140</f>
        <v>0</v>
      </c>
      <c r="AW140" s="38">
        <f>H140*AO140</f>
        <v>0</v>
      </c>
      <c r="AX140" s="38">
        <f>H140*AP140</f>
        <v>0</v>
      </c>
      <c r="AY140" s="41" t="s">
        <v>600</v>
      </c>
      <c r="AZ140" s="41" t="s">
        <v>614</v>
      </c>
      <c r="BA140" s="37" t="s">
        <v>616</v>
      </c>
      <c r="BC140" s="38">
        <f>AW140+AX140</f>
        <v>0</v>
      </c>
      <c r="BD140" s="38">
        <f>I140/(100-BE140)*100</f>
        <v>0</v>
      </c>
      <c r="BE140" s="38">
        <v>0</v>
      </c>
      <c r="BF140" s="38">
        <f>140</f>
        <v>140</v>
      </c>
      <c r="BH140" s="21">
        <f>H140*AO140</f>
        <v>0</v>
      </c>
      <c r="BI140" s="21">
        <f>H140*AP140</f>
        <v>0</v>
      </c>
      <c r="BJ140" s="21">
        <f>H140*I140</f>
        <v>0</v>
      </c>
      <c r="BK140" s="21" t="s">
        <v>621</v>
      </c>
      <c r="BL140" s="38" t="s">
        <v>226</v>
      </c>
    </row>
    <row r="141" spans="1:64" x14ac:dyDescent="0.2">
      <c r="A141" s="5"/>
      <c r="B141" s="14" t="s">
        <v>155</v>
      </c>
      <c r="C141" s="168" t="s">
        <v>441</v>
      </c>
      <c r="D141" s="169"/>
      <c r="E141" s="169"/>
      <c r="F141" s="169"/>
      <c r="G141" s="169"/>
      <c r="H141" s="169"/>
      <c r="I141" s="170"/>
      <c r="J141" s="169"/>
      <c r="K141" s="169"/>
      <c r="L141" s="169"/>
      <c r="M141" s="171"/>
      <c r="N141" s="5"/>
    </row>
    <row r="142" spans="1:64" x14ac:dyDescent="0.2">
      <c r="A142" s="4" t="s">
        <v>71</v>
      </c>
      <c r="B142" s="13" t="s">
        <v>229</v>
      </c>
      <c r="C142" s="164" t="s">
        <v>443</v>
      </c>
      <c r="D142" s="165"/>
      <c r="E142" s="165"/>
      <c r="F142" s="165"/>
      <c r="G142" s="13" t="s">
        <v>537</v>
      </c>
      <c r="H142" s="21">
        <v>10</v>
      </c>
      <c r="I142" s="26">
        <v>0</v>
      </c>
      <c r="J142" s="21">
        <f>H142*AO142</f>
        <v>0</v>
      </c>
      <c r="K142" s="21">
        <f>H142*AP142</f>
        <v>0</v>
      </c>
      <c r="L142" s="21">
        <f>H142*I142</f>
        <v>0</v>
      </c>
      <c r="M142" s="102" t="s">
        <v>763</v>
      </c>
      <c r="N142" s="5"/>
      <c r="Z142" s="38">
        <f>IF(AQ142="5",BJ142,0)</f>
        <v>0</v>
      </c>
      <c r="AB142" s="38">
        <f>IF(AQ142="1",BH142,0)</f>
        <v>0</v>
      </c>
      <c r="AC142" s="38">
        <f>IF(AQ142="1",BI142,0)</f>
        <v>0</v>
      </c>
      <c r="AD142" s="38">
        <f>IF(AQ142="7",BH142,0)</f>
        <v>0</v>
      </c>
      <c r="AE142" s="38">
        <f>IF(AQ142="7",BI142,0)</f>
        <v>0</v>
      </c>
      <c r="AF142" s="38">
        <f>IF(AQ142="2",BH142,0)</f>
        <v>0</v>
      </c>
      <c r="AG142" s="38">
        <f>IF(AQ142="2",BI142,0)</f>
        <v>0</v>
      </c>
      <c r="AH142" s="38">
        <f>IF(AQ142="0",BJ142,0)</f>
        <v>0</v>
      </c>
      <c r="AI142" s="37"/>
      <c r="AJ142" s="21">
        <f>IF(AN142=0,L142,0)</f>
        <v>0</v>
      </c>
      <c r="AK142" s="21">
        <f>IF(AN142=12,L142,0)</f>
        <v>0</v>
      </c>
      <c r="AL142" s="21">
        <f>IF(AN142=21,L142,0)</f>
        <v>0</v>
      </c>
      <c r="AN142" s="38">
        <v>12</v>
      </c>
      <c r="AO142" s="38">
        <f>I142*0.748119658119658</f>
        <v>0</v>
      </c>
      <c r="AP142" s="38">
        <f>I142*(1-0.748119658119658)</f>
        <v>0</v>
      </c>
      <c r="AQ142" s="39" t="s">
        <v>8</v>
      </c>
      <c r="AV142" s="38">
        <f>AW142+AX142</f>
        <v>0</v>
      </c>
      <c r="AW142" s="38">
        <f>H142*AO142</f>
        <v>0</v>
      </c>
      <c r="AX142" s="38">
        <f>H142*AP142</f>
        <v>0</v>
      </c>
      <c r="AY142" s="41" t="s">
        <v>600</v>
      </c>
      <c r="AZ142" s="41" t="s">
        <v>614</v>
      </c>
      <c r="BA142" s="37" t="s">
        <v>616</v>
      </c>
      <c r="BC142" s="38">
        <f>AW142+AX142</f>
        <v>0</v>
      </c>
      <c r="BD142" s="38">
        <f>I142/(100-BE142)*100</f>
        <v>0</v>
      </c>
      <c r="BE142" s="38">
        <v>0</v>
      </c>
      <c r="BF142" s="38">
        <f>142</f>
        <v>142</v>
      </c>
      <c r="BH142" s="21">
        <f>H142*AO142</f>
        <v>0</v>
      </c>
      <c r="BI142" s="21">
        <f>H142*AP142</f>
        <v>0</v>
      </c>
      <c r="BJ142" s="21">
        <f>H142*I142</f>
        <v>0</v>
      </c>
      <c r="BK142" s="21" t="s">
        <v>621</v>
      </c>
      <c r="BL142" s="38" t="s">
        <v>226</v>
      </c>
    </row>
    <row r="143" spans="1:64" x14ac:dyDescent="0.2">
      <c r="A143" s="5"/>
      <c r="B143" s="14" t="s">
        <v>155</v>
      </c>
      <c r="C143" s="168" t="s">
        <v>444</v>
      </c>
      <c r="D143" s="169"/>
      <c r="E143" s="169"/>
      <c r="F143" s="169"/>
      <c r="G143" s="169"/>
      <c r="H143" s="169"/>
      <c r="I143" s="170"/>
      <c r="J143" s="169"/>
      <c r="K143" s="169"/>
      <c r="L143" s="169"/>
      <c r="M143" s="171"/>
      <c r="N143" s="5"/>
    </row>
    <row r="144" spans="1:64" x14ac:dyDescent="0.2">
      <c r="A144" s="4" t="s">
        <v>72</v>
      </c>
      <c r="B144" s="13" t="s">
        <v>230</v>
      </c>
      <c r="C144" s="164" t="s">
        <v>445</v>
      </c>
      <c r="D144" s="165"/>
      <c r="E144" s="165"/>
      <c r="F144" s="165"/>
      <c r="G144" s="13" t="s">
        <v>537</v>
      </c>
      <c r="H144" s="21">
        <v>125</v>
      </c>
      <c r="I144" s="26">
        <v>0</v>
      </c>
      <c r="J144" s="21">
        <f>H144*AO144</f>
        <v>0</v>
      </c>
      <c r="K144" s="21">
        <f>H144*AP144</f>
        <v>0</v>
      </c>
      <c r="L144" s="21">
        <f>H144*I144</f>
        <v>0</v>
      </c>
      <c r="M144" s="102" t="s">
        <v>764</v>
      </c>
      <c r="N144" s="5"/>
      <c r="Z144" s="38">
        <f>IF(AQ144="5",BJ144,0)</f>
        <v>0</v>
      </c>
      <c r="AB144" s="38">
        <f>IF(AQ144="1",BH144,0)</f>
        <v>0</v>
      </c>
      <c r="AC144" s="38">
        <f>IF(AQ144="1",BI144,0)</f>
        <v>0</v>
      </c>
      <c r="AD144" s="38">
        <f>IF(AQ144="7",BH144,0)</f>
        <v>0</v>
      </c>
      <c r="AE144" s="38">
        <f>IF(AQ144="7",BI144,0)</f>
        <v>0</v>
      </c>
      <c r="AF144" s="38">
        <f>IF(AQ144="2",BH144,0)</f>
        <v>0</v>
      </c>
      <c r="AG144" s="38">
        <f>IF(AQ144="2",BI144,0)</f>
        <v>0</v>
      </c>
      <c r="AH144" s="38">
        <f>IF(AQ144="0",BJ144,0)</f>
        <v>0</v>
      </c>
      <c r="AI144" s="37"/>
      <c r="AJ144" s="21">
        <f>IF(AN144=0,L144,0)</f>
        <v>0</v>
      </c>
      <c r="AK144" s="21">
        <f>IF(AN144=12,L144,0)</f>
        <v>0</v>
      </c>
      <c r="AL144" s="21">
        <f>IF(AN144=21,L144,0)</f>
        <v>0</v>
      </c>
      <c r="AN144" s="38">
        <v>12</v>
      </c>
      <c r="AO144" s="38">
        <f>I144*0</f>
        <v>0</v>
      </c>
      <c r="AP144" s="38">
        <f>I144*(1-0)</f>
        <v>0</v>
      </c>
      <c r="AQ144" s="39" t="s">
        <v>8</v>
      </c>
      <c r="AV144" s="38">
        <f>AW144+AX144</f>
        <v>0</v>
      </c>
      <c r="AW144" s="38">
        <f>H144*AO144</f>
        <v>0</v>
      </c>
      <c r="AX144" s="38">
        <f>H144*AP144</f>
        <v>0</v>
      </c>
      <c r="AY144" s="41" t="s">
        <v>600</v>
      </c>
      <c r="AZ144" s="41" t="s">
        <v>614</v>
      </c>
      <c r="BA144" s="37" t="s">
        <v>616</v>
      </c>
      <c r="BC144" s="38">
        <f>AW144+AX144</f>
        <v>0</v>
      </c>
      <c r="BD144" s="38">
        <f>I144/(100-BE144)*100</f>
        <v>0</v>
      </c>
      <c r="BE144" s="38">
        <v>0</v>
      </c>
      <c r="BF144" s="38">
        <f>144</f>
        <v>144</v>
      </c>
      <c r="BH144" s="21">
        <f>H144*AO144</f>
        <v>0</v>
      </c>
      <c r="BI144" s="21">
        <f>H144*AP144</f>
        <v>0</v>
      </c>
      <c r="BJ144" s="21">
        <f>H144*I144</f>
        <v>0</v>
      </c>
      <c r="BK144" s="21" t="s">
        <v>621</v>
      </c>
      <c r="BL144" s="38" t="s">
        <v>226</v>
      </c>
    </row>
    <row r="145" spans="1:64" x14ac:dyDescent="0.2">
      <c r="A145" s="6"/>
      <c r="B145" s="15" t="s">
        <v>231</v>
      </c>
      <c r="C145" s="166" t="s">
        <v>446</v>
      </c>
      <c r="D145" s="167"/>
      <c r="E145" s="167"/>
      <c r="F145" s="167"/>
      <c r="G145" s="19" t="s">
        <v>6</v>
      </c>
      <c r="H145" s="19" t="s">
        <v>6</v>
      </c>
      <c r="I145" s="27" t="s">
        <v>6</v>
      </c>
      <c r="J145" s="44">
        <f>SUM(J146:J146)</f>
        <v>0</v>
      </c>
      <c r="K145" s="44">
        <f>SUM(K146:K146)</f>
        <v>0</v>
      </c>
      <c r="L145" s="44">
        <f>SUM(L146:L146)</f>
        <v>0</v>
      </c>
      <c r="M145" s="103"/>
      <c r="N145" s="5"/>
      <c r="AI145" s="37"/>
      <c r="AS145" s="44">
        <f>SUM(AJ146:AJ146)</f>
        <v>0</v>
      </c>
      <c r="AT145" s="44">
        <f>SUM(AK146:AK146)</f>
        <v>0</v>
      </c>
      <c r="AU145" s="44">
        <f>SUM(AL146:AL146)</f>
        <v>0</v>
      </c>
    </row>
    <row r="146" spans="1:64" x14ac:dyDescent="0.2">
      <c r="A146" s="4" t="s">
        <v>73</v>
      </c>
      <c r="B146" s="13" t="s">
        <v>232</v>
      </c>
      <c r="C146" s="164" t="s">
        <v>447</v>
      </c>
      <c r="D146" s="165"/>
      <c r="E146" s="165"/>
      <c r="F146" s="165"/>
      <c r="G146" s="13" t="s">
        <v>540</v>
      </c>
      <c r="H146" s="21">
        <v>1</v>
      </c>
      <c r="I146" s="26">
        <v>0</v>
      </c>
      <c r="J146" s="21">
        <f>H146*AO146</f>
        <v>0</v>
      </c>
      <c r="K146" s="21">
        <f>H146*AP146</f>
        <v>0</v>
      </c>
      <c r="L146" s="21">
        <f>H146*I146</f>
        <v>0</v>
      </c>
      <c r="M146" s="102" t="s">
        <v>763</v>
      </c>
      <c r="N146" s="5"/>
      <c r="Z146" s="38">
        <f>IF(AQ146="5",BJ146,0)</f>
        <v>0</v>
      </c>
      <c r="AB146" s="38">
        <f>IF(AQ146="1",BH146,0)</f>
        <v>0</v>
      </c>
      <c r="AC146" s="38">
        <f>IF(AQ146="1",BI146,0)</f>
        <v>0</v>
      </c>
      <c r="AD146" s="38">
        <f>IF(AQ146="7",BH146,0)</f>
        <v>0</v>
      </c>
      <c r="AE146" s="38">
        <f>IF(AQ146="7",BI146,0)</f>
        <v>0</v>
      </c>
      <c r="AF146" s="38">
        <f>IF(AQ146="2",BH146,0)</f>
        <v>0</v>
      </c>
      <c r="AG146" s="38">
        <f>IF(AQ146="2",BI146,0)</f>
        <v>0</v>
      </c>
      <c r="AH146" s="38">
        <f>IF(AQ146="0",BJ146,0)</f>
        <v>0</v>
      </c>
      <c r="AI146" s="37"/>
      <c r="AJ146" s="21">
        <f>IF(AN146=0,L146,0)</f>
        <v>0</v>
      </c>
      <c r="AK146" s="21">
        <f>IF(AN146=12,L146,0)</f>
        <v>0</v>
      </c>
      <c r="AL146" s="21">
        <f>IF(AN146=21,L146,0)</f>
        <v>0</v>
      </c>
      <c r="AN146" s="38">
        <v>12</v>
      </c>
      <c r="AO146" s="38">
        <f>I146*0.0195840554592721</f>
        <v>0</v>
      </c>
      <c r="AP146" s="38">
        <f>I146*(1-0.0195840554592721)</f>
        <v>0</v>
      </c>
      <c r="AQ146" s="39" t="s">
        <v>8</v>
      </c>
      <c r="AV146" s="38">
        <f>AW146+AX146</f>
        <v>0</v>
      </c>
      <c r="AW146" s="38">
        <f>H146*AO146</f>
        <v>0</v>
      </c>
      <c r="AX146" s="38">
        <f>H146*AP146</f>
        <v>0</v>
      </c>
      <c r="AY146" s="41" t="s">
        <v>601</v>
      </c>
      <c r="AZ146" s="41" t="s">
        <v>614</v>
      </c>
      <c r="BA146" s="37" t="s">
        <v>616</v>
      </c>
      <c r="BC146" s="38">
        <f>AW146+AX146</f>
        <v>0</v>
      </c>
      <c r="BD146" s="38">
        <f>I146/(100-BE146)*100</f>
        <v>0</v>
      </c>
      <c r="BE146" s="38">
        <v>0</v>
      </c>
      <c r="BF146" s="38">
        <f>146</f>
        <v>146</v>
      </c>
      <c r="BH146" s="21">
        <f>H146*AO146</f>
        <v>0</v>
      </c>
      <c r="BI146" s="21">
        <f>H146*AP146</f>
        <v>0</v>
      </c>
      <c r="BJ146" s="21">
        <f>H146*I146</f>
        <v>0</v>
      </c>
      <c r="BK146" s="21" t="s">
        <v>621</v>
      </c>
      <c r="BL146" s="38" t="s">
        <v>231</v>
      </c>
    </row>
    <row r="147" spans="1:64" x14ac:dyDescent="0.2">
      <c r="A147" s="5"/>
      <c r="B147" s="14" t="s">
        <v>155</v>
      </c>
      <c r="C147" s="168" t="s">
        <v>448</v>
      </c>
      <c r="D147" s="169"/>
      <c r="E147" s="169"/>
      <c r="F147" s="169"/>
      <c r="G147" s="169"/>
      <c r="H147" s="169"/>
      <c r="I147" s="170"/>
      <c r="J147" s="169"/>
      <c r="K147" s="169"/>
      <c r="L147" s="169"/>
      <c r="M147" s="171"/>
      <c r="N147" s="5"/>
    </row>
    <row r="148" spans="1:64" x14ac:dyDescent="0.2">
      <c r="A148" s="6"/>
      <c r="B148" s="15" t="s">
        <v>233</v>
      </c>
      <c r="C148" s="166" t="s">
        <v>449</v>
      </c>
      <c r="D148" s="167"/>
      <c r="E148" s="167"/>
      <c r="F148" s="167"/>
      <c r="G148" s="19" t="s">
        <v>6</v>
      </c>
      <c r="H148" s="19" t="s">
        <v>6</v>
      </c>
      <c r="I148" s="27" t="s">
        <v>6</v>
      </c>
      <c r="J148" s="44">
        <f>SUM(J149:J152)</f>
        <v>0</v>
      </c>
      <c r="K148" s="44">
        <f>SUM(K149:K152)</f>
        <v>0</v>
      </c>
      <c r="L148" s="44">
        <f>SUM(L149:L152)</f>
        <v>0</v>
      </c>
      <c r="M148" s="103"/>
      <c r="N148" s="5"/>
      <c r="AI148" s="37"/>
      <c r="AS148" s="44">
        <f>SUM(AJ149:AJ152)</f>
        <v>0</v>
      </c>
      <c r="AT148" s="44">
        <f>SUM(AK149:AK152)</f>
        <v>0</v>
      </c>
      <c r="AU148" s="44">
        <f>SUM(AL149:AL152)</f>
        <v>0</v>
      </c>
    </row>
    <row r="149" spans="1:64" x14ac:dyDescent="0.2">
      <c r="A149" s="4" t="s">
        <v>74</v>
      </c>
      <c r="B149" s="13" t="s">
        <v>234</v>
      </c>
      <c r="C149" s="164" t="s">
        <v>450</v>
      </c>
      <c r="D149" s="165"/>
      <c r="E149" s="165"/>
      <c r="F149" s="165"/>
      <c r="G149" s="13" t="s">
        <v>540</v>
      </c>
      <c r="H149" s="21">
        <v>6</v>
      </c>
      <c r="I149" s="26">
        <v>0</v>
      </c>
      <c r="J149" s="21">
        <f>H149*AO149</f>
        <v>0</v>
      </c>
      <c r="K149" s="21">
        <f>H149*AP149</f>
        <v>0</v>
      </c>
      <c r="L149" s="21">
        <f>H149*I149</f>
        <v>0</v>
      </c>
      <c r="M149" s="102" t="s">
        <v>763</v>
      </c>
      <c r="N149" s="5"/>
      <c r="Z149" s="38">
        <f>IF(AQ149="5",BJ149,0)</f>
        <v>0</v>
      </c>
      <c r="AB149" s="38">
        <f>IF(AQ149="1",BH149,0)</f>
        <v>0</v>
      </c>
      <c r="AC149" s="38">
        <f>IF(AQ149="1",BI149,0)</f>
        <v>0</v>
      </c>
      <c r="AD149" s="38">
        <f>IF(AQ149="7",BH149,0)</f>
        <v>0</v>
      </c>
      <c r="AE149" s="38">
        <f>IF(AQ149="7",BI149,0)</f>
        <v>0</v>
      </c>
      <c r="AF149" s="38">
        <f>IF(AQ149="2",BH149,0)</f>
        <v>0</v>
      </c>
      <c r="AG149" s="38">
        <f>IF(AQ149="2",BI149,0)</f>
        <v>0</v>
      </c>
      <c r="AH149" s="38">
        <f>IF(AQ149="0",BJ149,0)</f>
        <v>0</v>
      </c>
      <c r="AI149" s="37"/>
      <c r="AJ149" s="21">
        <f>IF(AN149=0,L149,0)</f>
        <v>0</v>
      </c>
      <c r="AK149" s="21">
        <f>IF(AN149=12,L149,0)</f>
        <v>0</v>
      </c>
      <c r="AL149" s="21">
        <f>IF(AN149=21,L149,0)</f>
        <v>0</v>
      </c>
      <c r="AN149" s="38">
        <v>12</v>
      </c>
      <c r="AO149" s="38">
        <f>I149*0</f>
        <v>0</v>
      </c>
      <c r="AP149" s="38">
        <f>I149*(1-0)</f>
        <v>0</v>
      </c>
      <c r="AQ149" s="39" t="s">
        <v>8</v>
      </c>
      <c r="AV149" s="38">
        <f>AW149+AX149</f>
        <v>0</v>
      </c>
      <c r="AW149" s="38">
        <f>H149*AO149</f>
        <v>0</v>
      </c>
      <c r="AX149" s="38">
        <f>H149*AP149</f>
        <v>0</v>
      </c>
      <c r="AY149" s="41" t="s">
        <v>602</v>
      </c>
      <c r="AZ149" s="41" t="s">
        <v>614</v>
      </c>
      <c r="BA149" s="37" t="s">
        <v>616</v>
      </c>
      <c r="BC149" s="38">
        <f>AW149+AX149</f>
        <v>0</v>
      </c>
      <c r="BD149" s="38">
        <f>I149/(100-BE149)*100</f>
        <v>0</v>
      </c>
      <c r="BE149" s="38">
        <v>0</v>
      </c>
      <c r="BF149" s="38">
        <f>149</f>
        <v>149</v>
      </c>
      <c r="BH149" s="21">
        <f>H149*AO149</f>
        <v>0</v>
      </c>
      <c r="BI149" s="21">
        <f>H149*AP149</f>
        <v>0</v>
      </c>
      <c r="BJ149" s="21">
        <f>H149*I149</f>
        <v>0</v>
      </c>
      <c r="BK149" s="21" t="s">
        <v>621</v>
      </c>
      <c r="BL149" s="38" t="s">
        <v>233</v>
      </c>
    </row>
    <row r="150" spans="1:64" x14ac:dyDescent="0.2">
      <c r="A150" s="4" t="s">
        <v>75</v>
      </c>
      <c r="B150" s="13" t="s">
        <v>235</v>
      </c>
      <c r="C150" s="164" t="s">
        <v>451</v>
      </c>
      <c r="D150" s="165"/>
      <c r="E150" s="165"/>
      <c r="F150" s="165"/>
      <c r="G150" s="13" t="s">
        <v>540</v>
      </c>
      <c r="H150" s="21">
        <v>4</v>
      </c>
      <c r="I150" s="26">
        <v>0</v>
      </c>
      <c r="J150" s="21">
        <f>H150*AO150</f>
        <v>0</v>
      </c>
      <c r="K150" s="21">
        <f>H150*AP150</f>
        <v>0</v>
      </c>
      <c r="L150" s="21">
        <f>H150*I150</f>
        <v>0</v>
      </c>
      <c r="M150" s="102" t="s">
        <v>763</v>
      </c>
      <c r="N150" s="5"/>
      <c r="Z150" s="38">
        <f>IF(AQ150="5",BJ150,0)</f>
        <v>0</v>
      </c>
      <c r="AB150" s="38">
        <f>IF(AQ150="1",BH150,0)</f>
        <v>0</v>
      </c>
      <c r="AC150" s="38">
        <f>IF(AQ150="1",BI150,0)</f>
        <v>0</v>
      </c>
      <c r="AD150" s="38">
        <f>IF(AQ150="7",BH150,0)</f>
        <v>0</v>
      </c>
      <c r="AE150" s="38">
        <f>IF(AQ150="7",BI150,0)</f>
        <v>0</v>
      </c>
      <c r="AF150" s="38">
        <f>IF(AQ150="2",BH150,0)</f>
        <v>0</v>
      </c>
      <c r="AG150" s="38">
        <f>IF(AQ150="2",BI150,0)</f>
        <v>0</v>
      </c>
      <c r="AH150" s="38">
        <f>IF(AQ150="0",BJ150,0)</f>
        <v>0</v>
      </c>
      <c r="AI150" s="37"/>
      <c r="AJ150" s="21">
        <f>IF(AN150=0,L150,0)</f>
        <v>0</v>
      </c>
      <c r="AK150" s="21">
        <f>IF(AN150=12,L150,0)</f>
        <v>0</v>
      </c>
      <c r="AL150" s="21">
        <f>IF(AN150=21,L150,0)</f>
        <v>0</v>
      </c>
      <c r="AN150" s="38">
        <v>12</v>
      </c>
      <c r="AO150" s="38">
        <f>I150*0</f>
        <v>0</v>
      </c>
      <c r="AP150" s="38">
        <f>I150*(1-0)</f>
        <v>0</v>
      </c>
      <c r="AQ150" s="39" t="s">
        <v>8</v>
      </c>
      <c r="AV150" s="38">
        <f>AW150+AX150</f>
        <v>0</v>
      </c>
      <c r="AW150" s="38">
        <f>H150*AO150</f>
        <v>0</v>
      </c>
      <c r="AX150" s="38">
        <f>H150*AP150</f>
        <v>0</v>
      </c>
      <c r="AY150" s="41" t="s">
        <v>602</v>
      </c>
      <c r="AZ150" s="41" t="s">
        <v>614</v>
      </c>
      <c r="BA150" s="37" t="s">
        <v>616</v>
      </c>
      <c r="BC150" s="38">
        <f>AW150+AX150</f>
        <v>0</v>
      </c>
      <c r="BD150" s="38">
        <f>I150/(100-BE150)*100</f>
        <v>0</v>
      </c>
      <c r="BE150" s="38">
        <v>0</v>
      </c>
      <c r="BF150" s="38">
        <f>150</f>
        <v>150</v>
      </c>
      <c r="BH150" s="21">
        <f>H150*AO150</f>
        <v>0</v>
      </c>
      <c r="BI150" s="21">
        <f>H150*AP150</f>
        <v>0</v>
      </c>
      <c r="BJ150" s="21">
        <f>H150*I150</f>
        <v>0</v>
      </c>
      <c r="BK150" s="21" t="s">
        <v>621</v>
      </c>
      <c r="BL150" s="38" t="s">
        <v>233</v>
      </c>
    </row>
    <row r="151" spans="1:64" x14ac:dyDescent="0.2">
      <c r="A151" s="4" t="s">
        <v>76</v>
      </c>
      <c r="B151" s="13" t="s">
        <v>236</v>
      </c>
      <c r="C151" s="164" t="s">
        <v>452</v>
      </c>
      <c r="D151" s="165"/>
      <c r="E151" s="165"/>
      <c r="F151" s="165"/>
      <c r="G151" s="13" t="s">
        <v>540</v>
      </c>
      <c r="H151" s="21">
        <v>2</v>
      </c>
      <c r="I151" s="26">
        <v>0</v>
      </c>
      <c r="J151" s="21">
        <f>H151*AO151</f>
        <v>0</v>
      </c>
      <c r="K151" s="21">
        <f>H151*AP151</f>
        <v>0</v>
      </c>
      <c r="L151" s="21">
        <f>H151*I151</f>
        <v>0</v>
      </c>
      <c r="M151" s="102" t="s">
        <v>763</v>
      </c>
      <c r="N151" s="5"/>
      <c r="Z151" s="38">
        <f>IF(AQ151="5",BJ151,0)</f>
        <v>0</v>
      </c>
      <c r="AB151" s="38">
        <f>IF(AQ151="1",BH151,0)</f>
        <v>0</v>
      </c>
      <c r="AC151" s="38">
        <f>IF(AQ151="1",BI151,0)</f>
        <v>0</v>
      </c>
      <c r="AD151" s="38">
        <f>IF(AQ151="7",BH151,0)</f>
        <v>0</v>
      </c>
      <c r="AE151" s="38">
        <f>IF(AQ151="7",BI151,0)</f>
        <v>0</v>
      </c>
      <c r="AF151" s="38">
        <f>IF(AQ151="2",BH151,0)</f>
        <v>0</v>
      </c>
      <c r="AG151" s="38">
        <f>IF(AQ151="2",BI151,0)</f>
        <v>0</v>
      </c>
      <c r="AH151" s="38">
        <f>IF(AQ151="0",BJ151,0)</f>
        <v>0</v>
      </c>
      <c r="AI151" s="37"/>
      <c r="AJ151" s="21">
        <f>IF(AN151=0,L151,0)</f>
        <v>0</v>
      </c>
      <c r="AK151" s="21">
        <f>IF(AN151=12,L151,0)</f>
        <v>0</v>
      </c>
      <c r="AL151" s="21">
        <f>IF(AN151=21,L151,0)</f>
        <v>0</v>
      </c>
      <c r="AN151" s="38">
        <v>12</v>
      </c>
      <c r="AO151" s="38">
        <f>I151*0</f>
        <v>0</v>
      </c>
      <c r="AP151" s="38">
        <f>I151*(1-0)</f>
        <v>0</v>
      </c>
      <c r="AQ151" s="39" t="s">
        <v>8</v>
      </c>
      <c r="AV151" s="38">
        <f>AW151+AX151</f>
        <v>0</v>
      </c>
      <c r="AW151" s="38">
        <f>H151*AO151</f>
        <v>0</v>
      </c>
      <c r="AX151" s="38">
        <f>H151*AP151</f>
        <v>0</v>
      </c>
      <c r="AY151" s="41" t="s">
        <v>602</v>
      </c>
      <c r="AZ151" s="41" t="s">
        <v>614</v>
      </c>
      <c r="BA151" s="37" t="s">
        <v>616</v>
      </c>
      <c r="BC151" s="38">
        <f>AW151+AX151</f>
        <v>0</v>
      </c>
      <c r="BD151" s="38">
        <f>I151/(100-BE151)*100</f>
        <v>0</v>
      </c>
      <c r="BE151" s="38">
        <v>0</v>
      </c>
      <c r="BF151" s="38">
        <f>151</f>
        <v>151</v>
      </c>
      <c r="BH151" s="21">
        <f>H151*AO151</f>
        <v>0</v>
      </c>
      <c r="BI151" s="21">
        <f>H151*AP151</f>
        <v>0</v>
      </c>
      <c r="BJ151" s="21">
        <f>H151*I151</f>
        <v>0</v>
      </c>
      <c r="BK151" s="21" t="s">
        <v>621</v>
      </c>
      <c r="BL151" s="38" t="s">
        <v>233</v>
      </c>
    </row>
    <row r="152" spans="1:64" x14ac:dyDescent="0.2">
      <c r="A152" s="4" t="s">
        <v>77</v>
      </c>
      <c r="B152" s="13" t="s">
        <v>237</v>
      </c>
      <c r="C152" s="164" t="s">
        <v>453</v>
      </c>
      <c r="D152" s="165"/>
      <c r="E152" s="165"/>
      <c r="F152" s="165"/>
      <c r="G152" s="13" t="s">
        <v>540</v>
      </c>
      <c r="H152" s="21">
        <v>6</v>
      </c>
      <c r="I152" s="26">
        <v>0</v>
      </c>
      <c r="J152" s="21">
        <f>H152*AO152</f>
        <v>0</v>
      </c>
      <c r="K152" s="21">
        <f>H152*AP152</f>
        <v>0</v>
      </c>
      <c r="L152" s="21">
        <f>H152*I152</f>
        <v>0</v>
      </c>
      <c r="M152" s="102" t="s">
        <v>764</v>
      </c>
      <c r="N152" s="5"/>
      <c r="Z152" s="38">
        <f>IF(AQ152="5",BJ152,0)</f>
        <v>0</v>
      </c>
      <c r="AB152" s="38">
        <f>IF(AQ152="1",BH152,0)</f>
        <v>0</v>
      </c>
      <c r="AC152" s="38">
        <f>IF(AQ152="1",BI152,0)</f>
        <v>0</v>
      </c>
      <c r="AD152" s="38">
        <f>IF(AQ152="7",BH152,0)</f>
        <v>0</v>
      </c>
      <c r="AE152" s="38">
        <f>IF(AQ152="7",BI152,0)</f>
        <v>0</v>
      </c>
      <c r="AF152" s="38">
        <f>IF(AQ152="2",BH152,0)</f>
        <v>0</v>
      </c>
      <c r="AG152" s="38">
        <f>IF(AQ152="2",BI152,0)</f>
        <v>0</v>
      </c>
      <c r="AH152" s="38">
        <f>IF(AQ152="0",BJ152,0)</f>
        <v>0</v>
      </c>
      <c r="AI152" s="37"/>
      <c r="AJ152" s="21">
        <f>IF(AN152=0,L152,0)</f>
        <v>0</v>
      </c>
      <c r="AK152" s="21">
        <f>IF(AN152=12,L152,0)</f>
        <v>0</v>
      </c>
      <c r="AL152" s="21">
        <f>IF(AN152=21,L152,0)</f>
        <v>0</v>
      </c>
      <c r="AN152" s="38">
        <v>12</v>
      </c>
      <c r="AO152" s="38">
        <f>I152*0</f>
        <v>0</v>
      </c>
      <c r="AP152" s="38">
        <f>I152*(1-0)</f>
        <v>0</v>
      </c>
      <c r="AQ152" s="39" t="s">
        <v>8</v>
      </c>
      <c r="AV152" s="38">
        <f>AW152+AX152</f>
        <v>0</v>
      </c>
      <c r="AW152" s="38">
        <f>H152*AO152</f>
        <v>0</v>
      </c>
      <c r="AX152" s="38">
        <f>H152*AP152</f>
        <v>0</v>
      </c>
      <c r="AY152" s="41" t="s">
        <v>602</v>
      </c>
      <c r="AZ152" s="41" t="s">
        <v>614</v>
      </c>
      <c r="BA152" s="37" t="s">
        <v>616</v>
      </c>
      <c r="BC152" s="38">
        <f>AW152+AX152</f>
        <v>0</v>
      </c>
      <c r="BD152" s="38">
        <f>I152/(100-BE152)*100</f>
        <v>0</v>
      </c>
      <c r="BE152" s="38">
        <v>0</v>
      </c>
      <c r="BF152" s="38">
        <f>152</f>
        <v>152</v>
      </c>
      <c r="BH152" s="21">
        <f>H152*AO152</f>
        <v>0</v>
      </c>
      <c r="BI152" s="21">
        <f>H152*AP152</f>
        <v>0</v>
      </c>
      <c r="BJ152" s="21">
        <f>H152*I152</f>
        <v>0</v>
      </c>
      <c r="BK152" s="21" t="s">
        <v>621</v>
      </c>
      <c r="BL152" s="38" t="s">
        <v>233</v>
      </c>
    </row>
    <row r="153" spans="1:64" x14ac:dyDescent="0.2">
      <c r="A153" s="5"/>
      <c r="B153" s="14" t="s">
        <v>155</v>
      </c>
      <c r="C153" s="168" t="s">
        <v>454</v>
      </c>
      <c r="D153" s="169"/>
      <c r="E153" s="169"/>
      <c r="F153" s="169"/>
      <c r="G153" s="169"/>
      <c r="H153" s="169"/>
      <c r="I153" s="170"/>
      <c r="J153" s="169"/>
      <c r="K153" s="169"/>
      <c r="L153" s="169"/>
      <c r="M153" s="171"/>
      <c r="N153" s="5"/>
    </row>
    <row r="154" spans="1:64" x14ac:dyDescent="0.2">
      <c r="A154" s="6"/>
      <c r="B154" s="15" t="s">
        <v>238</v>
      </c>
      <c r="C154" s="166" t="s">
        <v>455</v>
      </c>
      <c r="D154" s="167"/>
      <c r="E154" s="167"/>
      <c r="F154" s="167"/>
      <c r="G154" s="19" t="s">
        <v>6</v>
      </c>
      <c r="H154" s="19" t="s">
        <v>6</v>
      </c>
      <c r="I154" s="27" t="s">
        <v>6</v>
      </c>
      <c r="J154" s="44">
        <f>SUM(J155:J174)</f>
        <v>0</v>
      </c>
      <c r="K154" s="44">
        <f>SUM(K155:K174)</f>
        <v>0</v>
      </c>
      <c r="L154" s="44">
        <f>SUM(L155:L174)</f>
        <v>0</v>
      </c>
      <c r="M154" s="103"/>
      <c r="N154" s="5"/>
      <c r="AI154" s="37"/>
      <c r="AS154" s="44">
        <f>SUM(AJ155:AJ174)</f>
        <v>0</v>
      </c>
      <c r="AT154" s="44">
        <f>SUM(AK155:AK174)</f>
        <v>0</v>
      </c>
      <c r="AU154" s="44">
        <f>SUM(AL155:AL174)</f>
        <v>0</v>
      </c>
    </row>
    <row r="155" spans="1:64" x14ac:dyDescent="0.2">
      <c r="A155" s="4" t="s">
        <v>78</v>
      </c>
      <c r="B155" s="13" t="s">
        <v>239</v>
      </c>
      <c r="C155" s="164" t="s">
        <v>456</v>
      </c>
      <c r="D155" s="165"/>
      <c r="E155" s="165"/>
      <c r="F155" s="165"/>
      <c r="G155" s="13" t="s">
        <v>543</v>
      </c>
      <c r="H155" s="21">
        <v>1</v>
      </c>
      <c r="I155" s="26">
        <v>0</v>
      </c>
      <c r="J155" s="21">
        <f t="shared" ref="J155:J174" si="0">H155*AO155</f>
        <v>0</v>
      </c>
      <c r="K155" s="21">
        <f t="shared" ref="K155:K174" si="1">H155*AP155</f>
        <v>0</v>
      </c>
      <c r="L155" s="21">
        <f t="shared" ref="L155:L174" si="2">H155*I155</f>
        <v>0</v>
      </c>
      <c r="M155" s="102" t="s">
        <v>764</v>
      </c>
      <c r="N155" s="5"/>
      <c r="Z155" s="38">
        <f t="shared" ref="Z155:Z174" si="3">IF(AQ155="5",BJ155,0)</f>
        <v>0</v>
      </c>
      <c r="AB155" s="38">
        <f t="shared" ref="AB155:AB174" si="4">IF(AQ155="1",BH155,0)</f>
        <v>0</v>
      </c>
      <c r="AC155" s="38">
        <f t="shared" ref="AC155:AC174" si="5">IF(AQ155="1",BI155,0)</f>
        <v>0</v>
      </c>
      <c r="AD155" s="38">
        <f t="shared" ref="AD155:AD174" si="6">IF(AQ155="7",BH155,0)</f>
        <v>0</v>
      </c>
      <c r="AE155" s="38">
        <f t="shared" ref="AE155:AE174" si="7">IF(AQ155="7",BI155,0)</f>
        <v>0</v>
      </c>
      <c r="AF155" s="38">
        <f t="shared" ref="AF155:AF174" si="8">IF(AQ155="2",BH155,0)</f>
        <v>0</v>
      </c>
      <c r="AG155" s="38">
        <f t="shared" ref="AG155:AG174" si="9">IF(AQ155="2",BI155,0)</f>
        <v>0</v>
      </c>
      <c r="AH155" s="38">
        <f t="shared" ref="AH155:AH174" si="10">IF(AQ155="0",BJ155,0)</f>
        <v>0</v>
      </c>
      <c r="AI155" s="37"/>
      <c r="AJ155" s="21">
        <f t="shared" ref="AJ155:AJ174" si="11">IF(AN155=0,L155,0)</f>
        <v>0</v>
      </c>
      <c r="AK155" s="21">
        <f t="shared" ref="AK155:AK174" si="12">IF(AN155=12,L155,0)</f>
        <v>0</v>
      </c>
      <c r="AL155" s="21">
        <f t="shared" ref="AL155:AL174" si="13">IF(AN155=21,L155,0)</f>
        <v>0</v>
      </c>
      <c r="AN155" s="38">
        <v>12</v>
      </c>
      <c r="AO155" s="38">
        <f t="shared" ref="AO155:AO174" si="14">I155*0</f>
        <v>0</v>
      </c>
      <c r="AP155" s="38">
        <f t="shared" ref="AP155:AP174" si="15">I155*(1-0)</f>
        <v>0</v>
      </c>
      <c r="AQ155" s="39" t="s">
        <v>8</v>
      </c>
      <c r="AV155" s="38">
        <f t="shared" ref="AV155:AV174" si="16">AW155+AX155</f>
        <v>0</v>
      </c>
      <c r="AW155" s="38">
        <f t="shared" ref="AW155:AW174" si="17">H155*AO155</f>
        <v>0</v>
      </c>
      <c r="AX155" s="38">
        <f t="shared" ref="AX155:AX174" si="18">H155*AP155</f>
        <v>0</v>
      </c>
      <c r="AY155" s="41" t="s">
        <v>603</v>
      </c>
      <c r="AZ155" s="41" t="s">
        <v>614</v>
      </c>
      <c r="BA155" s="37" t="s">
        <v>616</v>
      </c>
      <c r="BC155" s="38">
        <f t="shared" ref="BC155:BC174" si="19">AW155+AX155</f>
        <v>0</v>
      </c>
      <c r="BD155" s="38">
        <f t="shared" ref="BD155:BD174" si="20">I155/(100-BE155)*100</f>
        <v>0</v>
      </c>
      <c r="BE155" s="38">
        <v>0</v>
      </c>
      <c r="BF155" s="38">
        <f>155</f>
        <v>155</v>
      </c>
      <c r="BH155" s="21">
        <f t="shared" ref="BH155:BH174" si="21">H155*AO155</f>
        <v>0</v>
      </c>
      <c r="BI155" s="21">
        <f t="shared" ref="BI155:BI174" si="22">H155*AP155</f>
        <v>0</v>
      </c>
      <c r="BJ155" s="21">
        <f t="shared" ref="BJ155:BJ174" si="23">H155*I155</f>
        <v>0</v>
      </c>
      <c r="BK155" s="21" t="s">
        <v>621</v>
      </c>
      <c r="BL155" s="38" t="s">
        <v>238</v>
      </c>
    </row>
    <row r="156" spans="1:64" x14ac:dyDescent="0.2">
      <c r="A156" s="4" t="s">
        <v>79</v>
      </c>
      <c r="B156" s="13" t="s">
        <v>240</v>
      </c>
      <c r="C156" s="164" t="s">
        <v>457</v>
      </c>
      <c r="D156" s="165"/>
      <c r="E156" s="165"/>
      <c r="F156" s="165"/>
      <c r="G156" s="13" t="s">
        <v>543</v>
      </c>
      <c r="H156" s="21">
        <v>1</v>
      </c>
      <c r="I156" s="26">
        <v>0</v>
      </c>
      <c r="J156" s="21">
        <f t="shared" si="0"/>
        <v>0</v>
      </c>
      <c r="K156" s="21">
        <f t="shared" si="1"/>
        <v>0</v>
      </c>
      <c r="L156" s="21">
        <f t="shared" si="2"/>
        <v>0</v>
      </c>
      <c r="M156" s="102" t="s">
        <v>764</v>
      </c>
      <c r="N156" s="5"/>
      <c r="Z156" s="38">
        <f t="shared" si="3"/>
        <v>0</v>
      </c>
      <c r="AB156" s="38">
        <f t="shared" si="4"/>
        <v>0</v>
      </c>
      <c r="AC156" s="38">
        <f t="shared" si="5"/>
        <v>0</v>
      </c>
      <c r="AD156" s="38">
        <f t="shared" si="6"/>
        <v>0</v>
      </c>
      <c r="AE156" s="38">
        <f t="shared" si="7"/>
        <v>0</v>
      </c>
      <c r="AF156" s="38">
        <f t="shared" si="8"/>
        <v>0</v>
      </c>
      <c r="AG156" s="38">
        <f t="shared" si="9"/>
        <v>0</v>
      </c>
      <c r="AH156" s="38">
        <f t="shared" si="10"/>
        <v>0</v>
      </c>
      <c r="AI156" s="37"/>
      <c r="AJ156" s="21">
        <f t="shared" si="11"/>
        <v>0</v>
      </c>
      <c r="AK156" s="21">
        <f t="shared" si="12"/>
        <v>0</v>
      </c>
      <c r="AL156" s="21">
        <f t="shared" si="13"/>
        <v>0</v>
      </c>
      <c r="AN156" s="38">
        <v>12</v>
      </c>
      <c r="AO156" s="38">
        <f t="shared" si="14"/>
        <v>0</v>
      </c>
      <c r="AP156" s="38">
        <f t="shared" si="15"/>
        <v>0</v>
      </c>
      <c r="AQ156" s="39" t="s">
        <v>8</v>
      </c>
      <c r="AV156" s="38">
        <f t="shared" si="16"/>
        <v>0</v>
      </c>
      <c r="AW156" s="38">
        <f t="shared" si="17"/>
        <v>0</v>
      </c>
      <c r="AX156" s="38">
        <f t="shared" si="18"/>
        <v>0</v>
      </c>
      <c r="AY156" s="41" t="s">
        <v>603</v>
      </c>
      <c r="AZ156" s="41" t="s">
        <v>614</v>
      </c>
      <c r="BA156" s="37" t="s">
        <v>616</v>
      </c>
      <c r="BC156" s="38">
        <f t="shared" si="19"/>
        <v>0</v>
      </c>
      <c r="BD156" s="38">
        <f t="shared" si="20"/>
        <v>0</v>
      </c>
      <c r="BE156" s="38">
        <v>0</v>
      </c>
      <c r="BF156" s="38">
        <f>156</f>
        <v>156</v>
      </c>
      <c r="BH156" s="21">
        <f t="shared" si="21"/>
        <v>0</v>
      </c>
      <c r="BI156" s="21">
        <f t="shared" si="22"/>
        <v>0</v>
      </c>
      <c r="BJ156" s="21">
        <f t="shared" si="23"/>
        <v>0</v>
      </c>
      <c r="BK156" s="21" t="s">
        <v>621</v>
      </c>
      <c r="BL156" s="38" t="s">
        <v>238</v>
      </c>
    </row>
    <row r="157" spans="1:64" x14ac:dyDescent="0.2">
      <c r="A157" s="4" t="s">
        <v>80</v>
      </c>
      <c r="B157" s="13" t="s">
        <v>241</v>
      </c>
      <c r="C157" s="164" t="s">
        <v>458</v>
      </c>
      <c r="D157" s="165"/>
      <c r="E157" s="165"/>
      <c r="F157" s="165"/>
      <c r="G157" s="13" t="s">
        <v>543</v>
      </c>
      <c r="H157" s="21">
        <v>1</v>
      </c>
      <c r="I157" s="26">
        <v>0</v>
      </c>
      <c r="J157" s="21">
        <f t="shared" si="0"/>
        <v>0</v>
      </c>
      <c r="K157" s="21">
        <f t="shared" si="1"/>
        <v>0</v>
      </c>
      <c r="L157" s="21">
        <f t="shared" si="2"/>
        <v>0</v>
      </c>
      <c r="M157" s="102" t="s">
        <v>764</v>
      </c>
      <c r="N157" s="5"/>
      <c r="Z157" s="38">
        <f t="shared" si="3"/>
        <v>0</v>
      </c>
      <c r="AB157" s="38">
        <f t="shared" si="4"/>
        <v>0</v>
      </c>
      <c r="AC157" s="38">
        <f t="shared" si="5"/>
        <v>0</v>
      </c>
      <c r="AD157" s="38">
        <f t="shared" si="6"/>
        <v>0</v>
      </c>
      <c r="AE157" s="38">
        <f t="shared" si="7"/>
        <v>0</v>
      </c>
      <c r="AF157" s="38">
        <f t="shared" si="8"/>
        <v>0</v>
      </c>
      <c r="AG157" s="38">
        <f t="shared" si="9"/>
        <v>0</v>
      </c>
      <c r="AH157" s="38">
        <f t="shared" si="10"/>
        <v>0</v>
      </c>
      <c r="AI157" s="37"/>
      <c r="AJ157" s="21">
        <f t="shared" si="11"/>
        <v>0</v>
      </c>
      <c r="AK157" s="21">
        <f t="shared" si="12"/>
        <v>0</v>
      </c>
      <c r="AL157" s="21">
        <f t="shared" si="13"/>
        <v>0</v>
      </c>
      <c r="AN157" s="38">
        <v>12</v>
      </c>
      <c r="AO157" s="38">
        <f t="shared" si="14"/>
        <v>0</v>
      </c>
      <c r="AP157" s="38">
        <f t="shared" si="15"/>
        <v>0</v>
      </c>
      <c r="AQ157" s="39" t="s">
        <v>8</v>
      </c>
      <c r="AV157" s="38">
        <f t="shared" si="16"/>
        <v>0</v>
      </c>
      <c r="AW157" s="38">
        <f t="shared" si="17"/>
        <v>0</v>
      </c>
      <c r="AX157" s="38">
        <f t="shared" si="18"/>
        <v>0</v>
      </c>
      <c r="AY157" s="41" t="s">
        <v>603</v>
      </c>
      <c r="AZ157" s="41" t="s">
        <v>614</v>
      </c>
      <c r="BA157" s="37" t="s">
        <v>616</v>
      </c>
      <c r="BC157" s="38">
        <f t="shared" si="19"/>
        <v>0</v>
      </c>
      <c r="BD157" s="38">
        <f t="shared" si="20"/>
        <v>0</v>
      </c>
      <c r="BE157" s="38">
        <v>0</v>
      </c>
      <c r="BF157" s="38">
        <f>157</f>
        <v>157</v>
      </c>
      <c r="BH157" s="21">
        <f t="shared" si="21"/>
        <v>0</v>
      </c>
      <c r="BI157" s="21">
        <f t="shared" si="22"/>
        <v>0</v>
      </c>
      <c r="BJ157" s="21">
        <f t="shared" si="23"/>
        <v>0</v>
      </c>
      <c r="BK157" s="21" t="s">
        <v>621</v>
      </c>
      <c r="BL157" s="38" t="s">
        <v>238</v>
      </c>
    </row>
    <row r="158" spans="1:64" x14ac:dyDescent="0.2">
      <c r="A158" s="4" t="s">
        <v>81</v>
      </c>
      <c r="B158" s="13" t="s">
        <v>242</v>
      </c>
      <c r="C158" s="164" t="s">
        <v>459</v>
      </c>
      <c r="D158" s="165"/>
      <c r="E158" s="165"/>
      <c r="F158" s="165"/>
      <c r="G158" s="13" t="s">
        <v>543</v>
      </c>
      <c r="H158" s="21">
        <v>1</v>
      </c>
      <c r="I158" s="26">
        <v>0</v>
      </c>
      <c r="J158" s="21">
        <f t="shared" si="0"/>
        <v>0</v>
      </c>
      <c r="K158" s="21">
        <f t="shared" si="1"/>
        <v>0</v>
      </c>
      <c r="L158" s="21">
        <f t="shared" si="2"/>
        <v>0</v>
      </c>
      <c r="M158" s="102" t="s">
        <v>764</v>
      </c>
      <c r="N158" s="5"/>
      <c r="Z158" s="38">
        <f t="shared" si="3"/>
        <v>0</v>
      </c>
      <c r="AB158" s="38">
        <f t="shared" si="4"/>
        <v>0</v>
      </c>
      <c r="AC158" s="38">
        <f t="shared" si="5"/>
        <v>0</v>
      </c>
      <c r="AD158" s="38">
        <f t="shared" si="6"/>
        <v>0</v>
      </c>
      <c r="AE158" s="38">
        <f t="shared" si="7"/>
        <v>0</v>
      </c>
      <c r="AF158" s="38">
        <f t="shared" si="8"/>
        <v>0</v>
      </c>
      <c r="AG158" s="38">
        <f t="shared" si="9"/>
        <v>0</v>
      </c>
      <c r="AH158" s="38">
        <f t="shared" si="10"/>
        <v>0</v>
      </c>
      <c r="AI158" s="37"/>
      <c r="AJ158" s="21">
        <f t="shared" si="11"/>
        <v>0</v>
      </c>
      <c r="AK158" s="21">
        <f t="shared" si="12"/>
        <v>0</v>
      </c>
      <c r="AL158" s="21">
        <f t="shared" si="13"/>
        <v>0</v>
      </c>
      <c r="AN158" s="38">
        <v>12</v>
      </c>
      <c r="AO158" s="38">
        <f t="shared" si="14"/>
        <v>0</v>
      </c>
      <c r="AP158" s="38">
        <f t="shared" si="15"/>
        <v>0</v>
      </c>
      <c r="AQ158" s="39" t="s">
        <v>8</v>
      </c>
      <c r="AV158" s="38">
        <f t="shared" si="16"/>
        <v>0</v>
      </c>
      <c r="AW158" s="38">
        <f t="shared" si="17"/>
        <v>0</v>
      </c>
      <c r="AX158" s="38">
        <f t="shared" si="18"/>
        <v>0</v>
      </c>
      <c r="AY158" s="41" t="s">
        <v>603</v>
      </c>
      <c r="AZ158" s="41" t="s">
        <v>614</v>
      </c>
      <c r="BA158" s="37" t="s">
        <v>616</v>
      </c>
      <c r="BC158" s="38">
        <f t="shared" si="19"/>
        <v>0</v>
      </c>
      <c r="BD158" s="38">
        <f t="shared" si="20"/>
        <v>0</v>
      </c>
      <c r="BE158" s="38">
        <v>0</v>
      </c>
      <c r="BF158" s="38">
        <f>158</f>
        <v>158</v>
      </c>
      <c r="BH158" s="21">
        <f t="shared" si="21"/>
        <v>0</v>
      </c>
      <c r="BI158" s="21">
        <f t="shared" si="22"/>
        <v>0</v>
      </c>
      <c r="BJ158" s="21">
        <f t="shared" si="23"/>
        <v>0</v>
      </c>
      <c r="BK158" s="21" t="s">
        <v>621</v>
      </c>
      <c r="BL158" s="38" t="s">
        <v>238</v>
      </c>
    </row>
    <row r="159" spans="1:64" x14ac:dyDescent="0.2">
      <c r="A159" s="4" t="s">
        <v>82</v>
      </c>
      <c r="B159" s="13" t="s">
        <v>243</v>
      </c>
      <c r="C159" s="164" t="s">
        <v>460</v>
      </c>
      <c r="D159" s="165"/>
      <c r="E159" s="165"/>
      <c r="F159" s="165"/>
      <c r="G159" s="13" t="s">
        <v>543</v>
      </c>
      <c r="H159" s="21">
        <v>1</v>
      </c>
      <c r="I159" s="26">
        <v>0</v>
      </c>
      <c r="J159" s="21">
        <f t="shared" si="0"/>
        <v>0</v>
      </c>
      <c r="K159" s="21">
        <f t="shared" si="1"/>
        <v>0</v>
      </c>
      <c r="L159" s="21">
        <f t="shared" si="2"/>
        <v>0</v>
      </c>
      <c r="M159" s="102" t="s">
        <v>764</v>
      </c>
      <c r="N159" s="5"/>
      <c r="Z159" s="38">
        <f t="shared" si="3"/>
        <v>0</v>
      </c>
      <c r="AB159" s="38">
        <f t="shared" si="4"/>
        <v>0</v>
      </c>
      <c r="AC159" s="38">
        <f t="shared" si="5"/>
        <v>0</v>
      </c>
      <c r="AD159" s="38">
        <f t="shared" si="6"/>
        <v>0</v>
      </c>
      <c r="AE159" s="38">
        <f t="shared" si="7"/>
        <v>0</v>
      </c>
      <c r="AF159" s="38">
        <f t="shared" si="8"/>
        <v>0</v>
      </c>
      <c r="AG159" s="38">
        <f t="shared" si="9"/>
        <v>0</v>
      </c>
      <c r="AH159" s="38">
        <f t="shared" si="10"/>
        <v>0</v>
      </c>
      <c r="AI159" s="37"/>
      <c r="AJ159" s="21">
        <f t="shared" si="11"/>
        <v>0</v>
      </c>
      <c r="AK159" s="21">
        <f t="shared" si="12"/>
        <v>0</v>
      </c>
      <c r="AL159" s="21">
        <f t="shared" si="13"/>
        <v>0</v>
      </c>
      <c r="AN159" s="38">
        <v>12</v>
      </c>
      <c r="AO159" s="38">
        <f t="shared" si="14"/>
        <v>0</v>
      </c>
      <c r="AP159" s="38">
        <f t="shared" si="15"/>
        <v>0</v>
      </c>
      <c r="AQ159" s="39" t="s">
        <v>8</v>
      </c>
      <c r="AV159" s="38">
        <f t="shared" si="16"/>
        <v>0</v>
      </c>
      <c r="AW159" s="38">
        <f t="shared" si="17"/>
        <v>0</v>
      </c>
      <c r="AX159" s="38">
        <f t="shared" si="18"/>
        <v>0</v>
      </c>
      <c r="AY159" s="41" t="s">
        <v>603</v>
      </c>
      <c r="AZ159" s="41" t="s">
        <v>614</v>
      </c>
      <c r="BA159" s="37" t="s">
        <v>616</v>
      </c>
      <c r="BC159" s="38">
        <f t="shared" si="19"/>
        <v>0</v>
      </c>
      <c r="BD159" s="38">
        <f t="shared" si="20"/>
        <v>0</v>
      </c>
      <c r="BE159" s="38">
        <v>0</v>
      </c>
      <c r="BF159" s="38">
        <f>159</f>
        <v>159</v>
      </c>
      <c r="BH159" s="21">
        <f t="shared" si="21"/>
        <v>0</v>
      </c>
      <c r="BI159" s="21">
        <f t="shared" si="22"/>
        <v>0</v>
      </c>
      <c r="BJ159" s="21">
        <f t="shared" si="23"/>
        <v>0</v>
      </c>
      <c r="BK159" s="21" t="s">
        <v>621</v>
      </c>
      <c r="BL159" s="38" t="s">
        <v>238</v>
      </c>
    </row>
    <row r="160" spans="1:64" x14ac:dyDescent="0.2">
      <c r="A160" s="4" t="s">
        <v>83</v>
      </c>
      <c r="B160" s="13" t="s">
        <v>244</v>
      </c>
      <c r="C160" s="164" t="s">
        <v>461</v>
      </c>
      <c r="D160" s="165"/>
      <c r="E160" s="165"/>
      <c r="F160" s="165"/>
      <c r="G160" s="13" t="s">
        <v>543</v>
      </c>
      <c r="H160" s="21">
        <v>1</v>
      </c>
      <c r="I160" s="26">
        <v>0</v>
      </c>
      <c r="J160" s="21">
        <f t="shared" si="0"/>
        <v>0</v>
      </c>
      <c r="K160" s="21">
        <f t="shared" si="1"/>
        <v>0</v>
      </c>
      <c r="L160" s="21">
        <f t="shared" si="2"/>
        <v>0</v>
      </c>
      <c r="M160" s="102" t="s">
        <v>764</v>
      </c>
      <c r="N160" s="5"/>
      <c r="Z160" s="38">
        <f t="shared" si="3"/>
        <v>0</v>
      </c>
      <c r="AB160" s="38">
        <f t="shared" si="4"/>
        <v>0</v>
      </c>
      <c r="AC160" s="38">
        <f t="shared" si="5"/>
        <v>0</v>
      </c>
      <c r="AD160" s="38">
        <f t="shared" si="6"/>
        <v>0</v>
      </c>
      <c r="AE160" s="38">
        <f t="shared" si="7"/>
        <v>0</v>
      </c>
      <c r="AF160" s="38">
        <f t="shared" si="8"/>
        <v>0</v>
      </c>
      <c r="AG160" s="38">
        <f t="shared" si="9"/>
        <v>0</v>
      </c>
      <c r="AH160" s="38">
        <f t="shared" si="10"/>
        <v>0</v>
      </c>
      <c r="AI160" s="37"/>
      <c r="AJ160" s="21">
        <f t="shared" si="11"/>
        <v>0</v>
      </c>
      <c r="AK160" s="21">
        <f t="shared" si="12"/>
        <v>0</v>
      </c>
      <c r="AL160" s="21">
        <f t="shared" si="13"/>
        <v>0</v>
      </c>
      <c r="AN160" s="38">
        <v>12</v>
      </c>
      <c r="AO160" s="38">
        <f t="shared" si="14"/>
        <v>0</v>
      </c>
      <c r="AP160" s="38">
        <f t="shared" si="15"/>
        <v>0</v>
      </c>
      <c r="AQ160" s="39" t="s">
        <v>8</v>
      </c>
      <c r="AV160" s="38">
        <f t="shared" si="16"/>
        <v>0</v>
      </c>
      <c r="AW160" s="38">
        <f t="shared" si="17"/>
        <v>0</v>
      </c>
      <c r="AX160" s="38">
        <f t="shared" si="18"/>
        <v>0</v>
      </c>
      <c r="AY160" s="41" t="s">
        <v>603</v>
      </c>
      <c r="AZ160" s="41" t="s">
        <v>614</v>
      </c>
      <c r="BA160" s="37" t="s">
        <v>616</v>
      </c>
      <c r="BC160" s="38">
        <f t="shared" si="19"/>
        <v>0</v>
      </c>
      <c r="BD160" s="38">
        <f t="shared" si="20"/>
        <v>0</v>
      </c>
      <c r="BE160" s="38">
        <v>0</v>
      </c>
      <c r="BF160" s="38">
        <f>160</f>
        <v>160</v>
      </c>
      <c r="BH160" s="21">
        <f t="shared" si="21"/>
        <v>0</v>
      </c>
      <c r="BI160" s="21">
        <f t="shared" si="22"/>
        <v>0</v>
      </c>
      <c r="BJ160" s="21">
        <f t="shared" si="23"/>
        <v>0</v>
      </c>
      <c r="BK160" s="21" t="s">
        <v>621</v>
      </c>
      <c r="BL160" s="38" t="s">
        <v>238</v>
      </c>
    </row>
    <row r="161" spans="1:64" x14ac:dyDescent="0.2">
      <c r="A161" s="4" t="s">
        <v>84</v>
      </c>
      <c r="B161" s="13" t="s">
        <v>245</v>
      </c>
      <c r="C161" s="164" t="s">
        <v>462</v>
      </c>
      <c r="D161" s="165"/>
      <c r="E161" s="165"/>
      <c r="F161" s="165"/>
      <c r="G161" s="13" t="s">
        <v>543</v>
      </c>
      <c r="H161" s="21">
        <v>1</v>
      </c>
      <c r="I161" s="26">
        <v>0</v>
      </c>
      <c r="J161" s="21">
        <f t="shared" si="0"/>
        <v>0</v>
      </c>
      <c r="K161" s="21">
        <f t="shared" si="1"/>
        <v>0</v>
      </c>
      <c r="L161" s="21">
        <f t="shared" si="2"/>
        <v>0</v>
      </c>
      <c r="M161" s="102" t="s">
        <v>764</v>
      </c>
      <c r="N161" s="5"/>
      <c r="Z161" s="38">
        <f t="shared" si="3"/>
        <v>0</v>
      </c>
      <c r="AB161" s="38">
        <f t="shared" si="4"/>
        <v>0</v>
      </c>
      <c r="AC161" s="38">
        <f t="shared" si="5"/>
        <v>0</v>
      </c>
      <c r="AD161" s="38">
        <f t="shared" si="6"/>
        <v>0</v>
      </c>
      <c r="AE161" s="38">
        <f t="shared" si="7"/>
        <v>0</v>
      </c>
      <c r="AF161" s="38">
        <f t="shared" si="8"/>
        <v>0</v>
      </c>
      <c r="AG161" s="38">
        <f t="shared" si="9"/>
        <v>0</v>
      </c>
      <c r="AH161" s="38">
        <f t="shared" si="10"/>
        <v>0</v>
      </c>
      <c r="AI161" s="37"/>
      <c r="AJ161" s="21">
        <f t="shared" si="11"/>
        <v>0</v>
      </c>
      <c r="AK161" s="21">
        <f t="shared" si="12"/>
        <v>0</v>
      </c>
      <c r="AL161" s="21">
        <f t="shared" si="13"/>
        <v>0</v>
      </c>
      <c r="AN161" s="38">
        <v>12</v>
      </c>
      <c r="AO161" s="38">
        <f t="shared" si="14"/>
        <v>0</v>
      </c>
      <c r="AP161" s="38">
        <f t="shared" si="15"/>
        <v>0</v>
      </c>
      <c r="AQ161" s="39" t="s">
        <v>8</v>
      </c>
      <c r="AV161" s="38">
        <f t="shared" si="16"/>
        <v>0</v>
      </c>
      <c r="AW161" s="38">
        <f t="shared" si="17"/>
        <v>0</v>
      </c>
      <c r="AX161" s="38">
        <f t="shared" si="18"/>
        <v>0</v>
      </c>
      <c r="AY161" s="41" t="s">
        <v>603</v>
      </c>
      <c r="AZ161" s="41" t="s">
        <v>614</v>
      </c>
      <c r="BA161" s="37" t="s">
        <v>616</v>
      </c>
      <c r="BC161" s="38">
        <f t="shared" si="19"/>
        <v>0</v>
      </c>
      <c r="BD161" s="38">
        <f t="shared" si="20"/>
        <v>0</v>
      </c>
      <c r="BE161" s="38">
        <v>0</v>
      </c>
      <c r="BF161" s="38">
        <f>161</f>
        <v>161</v>
      </c>
      <c r="BH161" s="21">
        <f t="shared" si="21"/>
        <v>0</v>
      </c>
      <c r="BI161" s="21">
        <f t="shared" si="22"/>
        <v>0</v>
      </c>
      <c r="BJ161" s="21">
        <f t="shared" si="23"/>
        <v>0</v>
      </c>
      <c r="BK161" s="21" t="s">
        <v>621</v>
      </c>
      <c r="BL161" s="38" t="s">
        <v>238</v>
      </c>
    </row>
    <row r="162" spans="1:64" x14ac:dyDescent="0.2">
      <c r="A162" s="4" t="s">
        <v>85</v>
      </c>
      <c r="B162" s="13" t="s">
        <v>246</v>
      </c>
      <c r="C162" s="164" t="s">
        <v>463</v>
      </c>
      <c r="D162" s="165"/>
      <c r="E162" s="165"/>
      <c r="F162" s="165"/>
      <c r="G162" s="13" t="s">
        <v>543</v>
      </c>
      <c r="H162" s="21">
        <v>1</v>
      </c>
      <c r="I162" s="26">
        <v>0</v>
      </c>
      <c r="J162" s="21">
        <f t="shared" si="0"/>
        <v>0</v>
      </c>
      <c r="K162" s="21">
        <f t="shared" si="1"/>
        <v>0</v>
      </c>
      <c r="L162" s="21">
        <f t="shared" si="2"/>
        <v>0</v>
      </c>
      <c r="M162" s="102" t="s">
        <v>764</v>
      </c>
      <c r="N162" s="5"/>
      <c r="Z162" s="38">
        <f t="shared" si="3"/>
        <v>0</v>
      </c>
      <c r="AB162" s="38">
        <f t="shared" si="4"/>
        <v>0</v>
      </c>
      <c r="AC162" s="38">
        <f t="shared" si="5"/>
        <v>0</v>
      </c>
      <c r="AD162" s="38">
        <f t="shared" si="6"/>
        <v>0</v>
      </c>
      <c r="AE162" s="38">
        <f t="shared" si="7"/>
        <v>0</v>
      </c>
      <c r="AF162" s="38">
        <f t="shared" si="8"/>
        <v>0</v>
      </c>
      <c r="AG162" s="38">
        <f t="shared" si="9"/>
        <v>0</v>
      </c>
      <c r="AH162" s="38">
        <f t="shared" si="10"/>
        <v>0</v>
      </c>
      <c r="AI162" s="37"/>
      <c r="AJ162" s="21">
        <f t="shared" si="11"/>
        <v>0</v>
      </c>
      <c r="AK162" s="21">
        <f t="shared" si="12"/>
        <v>0</v>
      </c>
      <c r="AL162" s="21">
        <f t="shared" si="13"/>
        <v>0</v>
      </c>
      <c r="AN162" s="38">
        <v>12</v>
      </c>
      <c r="AO162" s="38">
        <f t="shared" si="14"/>
        <v>0</v>
      </c>
      <c r="AP162" s="38">
        <f t="shared" si="15"/>
        <v>0</v>
      </c>
      <c r="AQ162" s="39" t="s">
        <v>8</v>
      </c>
      <c r="AV162" s="38">
        <f t="shared" si="16"/>
        <v>0</v>
      </c>
      <c r="AW162" s="38">
        <f t="shared" si="17"/>
        <v>0</v>
      </c>
      <c r="AX162" s="38">
        <f t="shared" si="18"/>
        <v>0</v>
      </c>
      <c r="AY162" s="41" t="s">
        <v>603</v>
      </c>
      <c r="AZ162" s="41" t="s">
        <v>614</v>
      </c>
      <c r="BA162" s="37" t="s">
        <v>616</v>
      </c>
      <c r="BC162" s="38">
        <f t="shared" si="19"/>
        <v>0</v>
      </c>
      <c r="BD162" s="38">
        <f t="shared" si="20"/>
        <v>0</v>
      </c>
      <c r="BE162" s="38">
        <v>0</v>
      </c>
      <c r="BF162" s="38">
        <f>162</f>
        <v>162</v>
      </c>
      <c r="BH162" s="21">
        <f t="shared" si="21"/>
        <v>0</v>
      </c>
      <c r="BI162" s="21">
        <f t="shared" si="22"/>
        <v>0</v>
      </c>
      <c r="BJ162" s="21">
        <f t="shared" si="23"/>
        <v>0</v>
      </c>
      <c r="BK162" s="21" t="s">
        <v>621</v>
      </c>
      <c r="BL162" s="38" t="s">
        <v>238</v>
      </c>
    </row>
    <row r="163" spans="1:64" x14ac:dyDescent="0.2">
      <c r="A163" s="4" t="s">
        <v>86</v>
      </c>
      <c r="B163" s="13" t="s">
        <v>247</v>
      </c>
      <c r="C163" s="164" t="s">
        <v>464</v>
      </c>
      <c r="D163" s="165"/>
      <c r="E163" s="165"/>
      <c r="F163" s="165"/>
      <c r="G163" s="13" t="s">
        <v>543</v>
      </c>
      <c r="H163" s="21">
        <v>1</v>
      </c>
      <c r="I163" s="26">
        <v>0</v>
      </c>
      <c r="J163" s="21">
        <f t="shared" si="0"/>
        <v>0</v>
      </c>
      <c r="K163" s="21">
        <f t="shared" si="1"/>
        <v>0</v>
      </c>
      <c r="L163" s="21">
        <f t="shared" si="2"/>
        <v>0</v>
      </c>
      <c r="M163" s="102" t="s">
        <v>764</v>
      </c>
      <c r="N163" s="5"/>
      <c r="Z163" s="38">
        <f t="shared" si="3"/>
        <v>0</v>
      </c>
      <c r="AB163" s="38">
        <f t="shared" si="4"/>
        <v>0</v>
      </c>
      <c r="AC163" s="38">
        <f t="shared" si="5"/>
        <v>0</v>
      </c>
      <c r="AD163" s="38">
        <f t="shared" si="6"/>
        <v>0</v>
      </c>
      <c r="AE163" s="38">
        <f t="shared" si="7"/>
        <v>0</v>
      </c>
      <c r="AF163" s="38">
        <f t="shared" si="8"/>
        <v>0</v>
      </c>
      <c r="AG163" s="38">
        <f t="shared" si="9"/>
        <v>0</v>
      </c>
      <c r="AH163" s="38">
        <f t="shared" si="10"/>
        <v>0</v>
      </c>
      <c r="AI163" s="37"/>
      <c r="AJ163" s="21">
        <f t="shared" si="11"/>
        <v>0</v>
      </c>
      <c r="AK163" s="21">
        <f t="shared" si="12"/>
        <v>0</v>
      </c>
      <c r="AL163" s="21">
        <f t="shared" si="13"/>
        <v>0</v>
      </c>
      <c r="AN163" s="38">
        <v>12</v>
      </c>
      <c r="AO163" s="38">
        <f t="shared" si="14"/>
        <v>0</v>
      </c>
      <c r="AP163" s="38">
        <f t="shared" si="15"/>
        <v>0</v>
      </c>
      <c r="AQ163" s="39" t="s">
        <v>8</v>
      </c>
      <c r="AV163" s="38">
        <f t="shared" si="16"/>
        <v>0</v>
      </c>
      <c r="AW163" s="38">
        <f t="shared" si="17"/>
        <v>0</v>
      </c>
      <c r="AX163" s="38">
        <f t="shared" si="18"/>
        <v>0</v>
      </c>
      <c r="AY163" s="41" t="s">
        <v>603</v>
      </c>
      <c r="AZ163" s="41" t="s">
        <v>614</v>
      </c>
      <c r="BA163" s="37" t="s">
        <v>616</v>
      </c>
      <c r="BC163" s="38">
        <f t="shared" si="19"/>
        <v>0</v>
      </c>
      <c r="BD163" s="38">
        <f t="shared" si="20"/>
        <v>0</v>
      </c>
      <c r="BE163" s="38">
        <v>0</v>
      </c>
      <c r="BF163" s="38">
        <f>163</f>
        <v>163</v>
      </c>
      <c r="BH163" s="21">
        <f t="shared" si="21"/>
        <v>0</v>
      </c>
      <c r="BI163" s="21">
        <f t="shared" si="22"/>
        <v>0</v>
      </c>
      <c r="BJ163" s="21">
        <f t="shared" si="23"/>
        <v>0</v>
      </c>
      <c r="BK163" s="21" t="s">
        <v>621</v>
      </c>
      <c r="BL163" s="38" t="s">
        <v>238</v>
      </c>
    </row>
    <row r="164" spans="1:64" x14ac:dyDescent="0.2">
      <c r="A164" s="4" t="s">
        <v>87</v>
      </c>
      <c r="B164" s="13" t="s">
        <v>248</v>
      </c>
      <c r="C164" s="164" t="s">
        <v>465</v>
      </c>
      <c r="D164" s="165"/>
      <c r="E164" s="165"/>
      <c r="F164" s="165"/>
      <c r="G164" s="13" t="s">
        <v>543</v>
      </c>
      <c r="H164" s="21">
        <v>1</v>
      </c>
      <c r="I164" s="26">
        <v>0</v>
      </c>
      <c r="J164" s="21">
        <f t="shared" si="0"/>
        <v>0</v>
      </c>
      <c r="K164" s="21">
        <f t="shared" si="1"/>
        <v>0</v>
      </c>
      <c r="L164" s="21">
        <f t="shared" si="2"/>
        <v>0</v>
      </c>
      <c r="M164" s="102" t="s">
        <v>764</v>
      </c>
      <c r="N164" s="5"/>
      <c r="Z164" s="38">
        <f t="shared" si="3"/>
        <v>0</v>
      </c>
      <c r="AB164" s="38">
        <f t="shared" si="4"/>
        <v>0</v>
      </c>
      <c r="AC164" s="38">
        <f t="shared" si="5"/>
        <v>0</v>
      </c>
      <c r="AD164" s="38">
        <f t="shared" si="6"/>
        <v>0</v>
      </c>
      <c r="AE164" s="38">
        <f t="shared" si="7"/>
        <v>0</v>
      </c>
      <c r="AF164" s="38">
        <f t="shared" si="8"/>
        <v>0</v>
      </c>
      <c r="AG164" s="38">
        <f t="shared" si="9"/>
        <v>0</v>
      </c>
      <c r="AH164" s="38">
        <f t="shared" si="10"/>
        <v>0</v>
      </c>
      <c r="AI164" s="37"/>
      <c r="AJ164" s="21">
        <f t="shared" si="11"/>
        <v>0</v>
      </c>
      <c r="AK164" s="21">
        <f t="shared" si="12"/>
        <v>0</v>
      </c>
      <c r="AL164" s="21">
        <f t="shared" si="13"/>
        <v>0</v>
      </c>
      <c r="AN164" s="38">
        <v>12</v>
      </c>
      <c r="AO164" s="38">
        <f t="shared" si="14"/>
        <v>0</v>
      </c>
      <c r="AP164" s="38">
        <f t="shared" si="15"/>
        <v>0</v>
      </c>
      <c r="AQ164" s="39" t="s">
        <v>8</v>
      </c>
      <c r="AV164" s="38">
        <f t="shared" si="16"/>
        <v>0</v>
      </c>
      <c r="AW164" s="38">
        <f t="shared" si="17"/>
        <v>0</v>
      </c>
      <c r="AX164" s="38">
        <f t="shared" si="18"/>
        <v>0</v>
      </c>
      <c r="AY164" s="41" t="s">
        <v>603</v>
      </c>
      <c r="AZ164" s="41" t="s">
        <v>614</v>
      </c>
      <c r="BA164" s="37" t="s">
        <v>616</v>
      </c>
      <c r="BC164" s="38">
        <f t="shared" si="19"/>
        <v>0</v>
      </c>
      <c r="BD164" s="38">
        <f t="shared" si="20"/>
        <v>0</v>
      </c>
      <c r="BE164" s="38">
        <v>0</v>
      </c>
      <c r="BF164" s="38">
        <f>164</f>
        <v>164</v>
      </c>
      <c r="BH164" s="21">
        <f t="shared" si="21"/>
        <v>0</v>
      </c>
      <c r="BI164" s="21">
        <f t="shared" si="22"/>
        <v>0</v>
      </c>
      <c r="BJ164" s="21">
        <f t="shared" si="23"/>
        <v>0</v>
      </c>
      <c r="BK164" s="21" t="s">
        <v>621</v>
      </c>
      <c r="BL164" s="38" t="s">
        <v>238</v>
      </c>
    </row>
    <row r="165" spans="1:64" x14ac:dyDescent="0.2">
      <c r="A165" s="4" t="s">
        <v>88</v>
      </c>
      <c r="B165" s="13" t="s">
        <v>249</v>
      </c>
      <c r="C165" s="164" t="s">
        <v>466</v>
      </c>
      <c r="D165" s="165"/>
      <c r="E165" s="165"/>
      <c r="F165" s="165"/>
      <c r="G165" s="13" t="s">
        <v>543</v>
      </c>
      <c r="H165" s="21">
        <v>1</v>
      </c>
      <c r="I165" s="26">
        <v>0</v>
      </c>
      <c r="J165" s="21">
        <f t="shared" si="0"/>
        <v>0</v>
      </c>
      <c r="K165" s="21">
        <f t="shared" si="1"/>
        <v>0</v>
      </c>
      <c r="L165" s="21">
        <f t="shared" si="2"/>
        <v>0</v>
      </c>
      <c r="M165" s="102" t="s">
        <v>764</v>
      </c>
      <c r="N165" s="5"/>
      <c r="Z165" s="38">
        <f t="shared" si="3"/>
        <v>0</v>
      </c>
      <c r="AB165" s="38">
        <f t="shared" si="4"/>
        <v>0</v>
      </c>
      <c r="AC165" s="38">
        <f t="shared" si="5"/>
        <v>0</v>
      </c>
      <c r="AD165" s="38">
        <f t="shared" si="6"/>
        <v>0</v>
      </c>
      <c r="AE165" s="38">
        <f t="shared" si="7"/>
        <v>0</v>
      </c>
      <c r="AF165" s="38">
        <f t="shared" si="8"/>
        <v>0</v>
      </c>
      <c r="AG165" s="38">
        <f t="shared" si="9"/>
        <v>0</v>
      </c>
      <c r="AH165" s="38">
        <f t="shared" si="10"/>
        <v>0</v>
      </c>
      <c r="AI165" s="37"/>
      <c r="AJ165" s="21">
        <f t="shared" si="11"/>
        <v>0</v>
      </c>
      <c r="AK165" s="21">
        <f t="shared" si="12"/>
        <v>0</v>
      </c>
      <c r="AL165" s="21">
        <f t="shared" si="13"/>
        <v>0</v>
      </c>
      <c r="AN165" s="38">
        <v>12</v>
      </c>
      <c r="AO165" s="38">
        <f t="shared" si="14"/>
        <v>0</v>
      </c>
      <c r="AP165" s="38">
        <f t="shared" si="15"/>
        <v>0</v>
      </c>
      <c r="AQ165" s="39" t="s">
        <v>8</v>
      </c>
      <c r="AV165" s="38">
        <f t="shared" si="16"/>
        <v>0</v>
      </c>
      <c r="AW165" s="38">
        <f t="shared" si="17"/>
        <v>0</v>
      </c>
      <c r="AX165" s="38">
        <f t="shared" si="18"/>
        <v>0</v>
      </c>
      <c r="AY165" s="41" t="s">
        <v>603</v>
      </c>
      <c r="AZ165" s="41" t="s">
        <v>614</v>
      </c>
      <c r="BA165" s="37" t="s">
        <v>616</v>
      </c>
      <c r="BC165" s="38">
        <f t="shared" si="19"/>
        <v>0</v>
      </c>
      <c r="BD165" s="38">
        <f t="shared" si="20"/>
        <v>0</v>
      </c>
      <c r="BE165" s="38">
        <v>0</v>
      </c>
      <c r="BF165" s="38">
        <f>165</f>
        <v>165</v>
      </c>
      <c r="BH165" s="21">
        <f t="shared" si="21"/>
        <v>0</v>
      </c>
      <c r="BI165" s="21">
        <f t="shared" si="22"/>
        <v>0</v>
      </c>
      <c r="BJ165" s="21">
        <f t="shared" si="23"/>
        <v>0</v>
      </c>
      <c r="BK165" s="21" t="s">
        <v>621</v>
      </c>
      <c r="BL165" s="38" t="s">
        <v>238</v>
      </c>
    </row>
    <row r="166" spans="1:64" x14ac:dyDescent="0.2">
      <c r="A166" s="4" t="s">
        <v>89</v>
      </c>
      <c r="B166" s="13" t="s">
        <v>250</v>
      </c>
      <c r="C166" s="164" t="s">
        <v>467</v>
      </c>
      <c r="D166" s="165"/>
      <c r="E166" s="165"/>
      <c r="F166" s="165"/>
      <c r="G166" s="13" t="s">
        <v>543</v>
      </c>
      <c r="H166" s="21">
        <v>1</v>
      </c>
      <c r="I166" s="26">
        <v>0</v>
      </c>
      <c r="J166" s="21">
        <f t="shared" si="0"/>
        <v>0</v>
      </c>
      <c r="K166" s="21">
        <f t="shared" si="1"/>
        <v>0</v>
      </c>
      <c r="L166" s="21">
        <f t="shared" si="2"/>
        <v>0</v>
      </c>
      <c r="M166" s="102" t="s">
        <v>764</v>
      </c>
      <c r="N166" s="5"/>
      <c r="Z166" s="38">
        <f t="shared" si="3"/>
        <v>0</v>
      </c>
      <c r="AB166" s="38">
        <f t="shared" si="4"/>
        <v>0</v>
      </c>
      <c r="AC166" s="38">
        <f t="shared" si="5"/>
        <v>0</v>
      </c>
      <c r="AD166" s="38">
        <f t="shared" si="6"/>
        <v>0</v>
      </c>
      <c r="AE166" s="38">
        <f t="shared" si="7"/>
        <v>0</v>
      </c>
      <c r="AF166" s="38">
        <f t="shared" si="8"/>
        <v>0</v>
      </c>
      <c r="AG166" s="38">
        <f t="shared" si="9"/>
        <v>0</v>
      </c>
      <c r="AH166" s="38">
        <f t="shared" si="10"/>
        <v>0</v>
      </c>
      <c r="AI166" s="37"/>
      <c r="AJ166" s="21">
        <f t="shared" si="11"/>
        <v>0</v>
      </c>
      <c r="AK166" s="21">
        <f t="shared" si="12"/>
        <v>0</v>
      </c>
      <c r="AL166" s="21">
        <f t="shared" si="13"/>
        <v>0</v>
      </c>
      <c r="AN166" s="38">
        <v>12</v>
      </c>
      <c r="AO166" s="38">
        <f t="shared" si="14"/>
        <v>0</v>
      </c>
      <c r="AP166" s="38">
        <f t="shared" si="15"/>
        <v>0</v>
      </c>
      <c r="AQ166" s="39" t="s">
        <v>8</v>
      </c>
      <c r="AV166" s="38">
        <f t="shared" si="16"/>
        <v>0</v>
      </c>
      <c r="AW166" s="38">
        <f t="shared" si="17"/>
        <v>0</v>
      </c>
      <c r="AX166" s="38">
        <f t="shared" si="18"/>
        <v>0</v>
      </c>
      <c r="AY166" s="41" t="s">
        <v>603</v>
      </c>
      <c r="AZ166" s="41" t="s">
        <v>614</v>
      </c>
      <c r="BA166" s="37" t="s">
        <v>616</v>
      </c>
      <c r="BC166" s="38">
        <f t="shared" si="19"/>
        <v>0</v>
      </c>
      <c r="BD166" s="38">
        <f t="shared" si="20"/>
        <v>0</v>
      </c>
      <c r="BE166" s="38">
        <v>0</v>
      </c>
      <c r="BF166" s="38">
        <f>166</f>
        <v>166</v>
      </c>
      <c r="BH166" s="21">
        <f t="shared" si="21"/>
        <v>0</v>
      </c>
      <c r="BI166" s="21">
        <f t="shared" si="22"/>
        <v>0</v>
      </c>
      <c r="BJ166" s="21">
        <f t="shared" si="23"/>
        <v>0</v>
      </c>
      <c r="BK166" s="21" t="s">
        <v>621</v>
      </c>
      <c r="BL166" s="38" t="s">
        <v>238</v>
      </c>
    </row>
    <row r="167" spans="1:64" x14ac:dyDescent="0.2">
      <c r="A167" s="4" t="s">
        <v>90</v>
      </c>
      <c r="B167" s="13" t="s">
        <v>251</v>
      </c>
      <c r="C167" s="164" t="s">
        <v>468</v>
      </c>
      <c r="D167" s="165"/>
      <c r="E167" s="165"/>
      <c r="F167" s="165"/>
      <c r="G167" s="13" t="s">
        <v>543</v>
      </c>
      <c r="H167" s="21">
        <v>1</v>
      </c>
      <c r="I167" s="26">
        <v>0</v>
      </c>
      <c r="J167" s="21">
        <f t="shared" si="0"/>
        <v>0</v>
      </c>
      <c r="K167" s="21">
        <f t="shared" si="1"/>
        <v>0</v>
      </c>
      <c r="L167" s="21">
        <f t="shared" si="2"/>
        <v>0</v>
      </c>
      <c r="M167" s="102" t="s">
        <v>764</v>
      </c>
      <c r="N167" s="5"/>
      <c r="Z167" s="38">
        <f t="shared" si="3"/>
        <v>0</v>
      </c>
      <c r="AB167" s="38">
        <f t="shared" si="4"/>
        <v>0</v>
      </c>
      <c r="AC167" s="38">
        <f t="shared" si="5"/>
        <v>0</v>
      </c>
      <c r="AD167" s="38">
        <f t="shared" si="6"/>
        <v>0</v>
      </c>
      <c r="AE167" s="38">
        <f t="shared" si="7"/>
        <v>0</v>
      </c>
      <c r="AF167" s="38">
        <f t="shared" si="8"/>
        <v>0</v>
      </c>
      <c r="AG167" s="38">
        <f t="shared" si="9"/>
        <v>0</v>
      </c>
      <c r="AH167" s="38">
        <f t="shared" si="10"/>
        <v>0</v>
      </c>
      <c r="AI167" s="37"/>
      <c r="AJ167" s="21">
        <f t="shared" si="11"/>
        <v>0</v>
      </c>
      <c r="AK167" s="21">
        <f t="shared" si="12"/>
        <v>0</v>
      </c>
      <c r="AL167" s="21">
        <f t="shared" si="13"/>
        <v>0</v>
      </c>
      <c r="AN167" s="38">
        <v>12</v>
      </c>
      <c r="AO167" s="38">
        <f t="shared" si="14"/>
        <v>0</v>
      </c>
      <c r="AP167" s="38">
        <f t="shared" si="15"/>
        <v>0</v>
      </c>
      <c r="AQ167" s="39" t="s">
        <v>8</v>
      </c>
      <c r="AV167" s="38">
        <f t="shared" si="16"/>
        <v>0</v>
      </c>
      <c r="AW167" s="38">
        <f t="shared" si="17"/>
        <v>0</v>
      </c>
      <c r="AX167" s="38">
        <f t="shared" si="18"/>
        <v>0</v>
      </c>
      <c r="AY167" s="41" t="s">
        <v>603</v>
      </c>
      <c r="AZ167" s="41" t="s">
        <v>614</v>
      </c>
      <c r="BA167" s="37" t="s">
        <v>616</v>
      </c>
      <c r="BC167" s="38">
        <f t="shared" si="19"/>
        <v>0</v>
      </c>
      <c r="BD167" s="38">
        <f t="shared" si="20"/>
        <v>0</v>
      </c>
      <c r="BE167" s="38">
        <v>0</v>
      </c>
      <c r="BF167" s="38">
        <f>167</f>
        <v>167</v>
      </c>
      <c r="BH167" s="21">
        <f t="shared" si="21"/>
        <v>0</v>
      </c>
      <c r="BI167" s="21">
        <f t="shared" si="22"/>
        <v>0</v>
      </c>
      <c r="BJ167" s="21">
        <f t="shared" si="23"/>
        <v>0</v>
      </c>
      <c r="BK167" s="21" t="s">
        <v>621</v>
      </c>
      <c r="BL167" s="38" t="s">
        <v>238</v>
      </c>
    </row>
    <row r="168" spans="1:64" x14ac:dyDescent="0.2">
      <c r="A168" s="4" t="s">
        <v>91</v>
      </c>
      <c r="B168" s="13" t="s">
        <v>252</v>
      </c>
      <c r="C168" s="164" t="s">
        <v>469</v>
      </c>
      <c r="D168" s="165"/>
      <c r="E168" s="165"/>
      <c r="F168" s="165"/>
      <c r="G168" s="13" t="s">
        <v>543</v>
      </c>
      <c r="H168" s="21">
        <v>1</v>
      </c>
      <c r="I168" s="26">
        <v>0</v>
      </c>
      <c r="J168" s="21">
        <f t="shared" si="0"/>
        <v>0</v>
      </c>
      <c r="K168" s="21">
        <f t="shared" si="1"/>
        <v>0</v>
      </c>
      <c r="L168" s="21">
        <f t="shared" si="2"/>
        <v>0</v>
      </c>
      <c r="M168" s="102" t="s">
        <v>764</v>
      </c>
      <c r="N168" s="5"/>
      <c r="Z168" s="38">
        <f t="shared" si="3"/>
        <v>0</v>
      </c>
      <c r="AB168" s="38">
        <f t="shared" si="4"/>
        <v>0</v>
      </c>
      <c r="AC168" s="38">
        <f t="shared" si="5"/>
        <v>0</v>
      </c>
      <c r="AD168" s="38">
        <f t="shared" si="6"/>
        <v>0</v>
      </c>
      <c r="AE168" s="38">
        <f t="shared" si="7"/>
        <v>0</v>
      </c>
      <c r="AF168" s="38">
        <f t="shared" si="8"/>
        <v>0</v>
      </c>
      <c r="AG168" s="38">
        <f t="shared" si="9"/>
        <v>0</v>
      </c>
      <c r="AH168" s="38">
        <f t="shared" si="10"/>
        <v>0</v>
      </c>
      <c r="AI168" s="37"/>
      <c r="AJ168" s="21">
        <f t="shared" si="11"/>
        <v>0</v>
      </c>
      <c r="AK168" s="21">
        <f t="shared" si="12"/>
        <v>0</v>
      </c>
      <c r="AL168" s="21">
        <f t="shared" si="13"/>
        <v>0</v>
      </c>
      <c r="AN168" s="38">
        <v>12</v>
      </c>
      <c r="AO168" s="38">
        <f t="shared" si="14"/>
        <v>0</v>
      </c>
      <c r="AP168" s="38">
        <f t="shared" si="15"/>
        <v>0</v>
      </c>
      <c r="AQ168" s="39" t="s">
        <v>8</v>
      </c>
      <c r="AV168" s="38">
        <f t="shared" si="16"/>
        <v>0</v>
      </c>
      <c r="AW168" s="38">
        <f t="shared" si="17"/>
        <v>0</v>
      </c>
      <c r="AX168" s="38">
        <f t="shared" si="18"/>
        <v>0</v>
      </c>
      <c r="AY168" s="41" t="s">
        <v>603</v>
      </c>
      <c r="AZ168" s="41" t="s">
        <v>614</v>
      </c>
      <c r="BA168" s="37" t="s">
        <v>616</v>
      </c>
      <c r="BC168" s="38">
        <f t="shared" si="19"/>
        <v>0</v>
      </c>
      <c r="BD168" s="38">
        <f t="shared" si="20"/>
        <v>0</v>
      </c>
      <c r="BE168" s="38">
        <v>0</v>
      </c>
      <c r="BF168" s="38">
        <f>168</f>
        <v>168</v>
      </c>
      <c r="BH168" s="21">
        <f t="shared" si="21"/>
        <v>0</v>
      </c>
      <c r="BI168" s="21">
        <f t="shared" si="22"/>
        <v>0</v>
      </c>
      <c r="BJ168" s="21">
        <f t="shared" si="23"/>
        <v>0</v>
      </c>
      <c r="BK168" s="21" t="s">
        <v>621</v>
      </c>
      <c r="BL168" s="38" t="s">
        <v>238</v>
      </c>
    </row>
    <row r="169" spans="1:64" x14ac:dyDescent="0.2">
      <c r="A169" s="4" t="s">
        <v>92</v>
      </c>
      <c r="B169" s="13" t="s">
        <v>253</v>
      </c>
      <c r="C169" s="164" t="s">
        <v>470</v>
      </c>
      <c r="D169" s="165"/>
      <c r="E169" s="165"/>
      <c r="F169" s="165"/>
      <c r="G169" s="13" t="s">
        <v>543</v>
      </c>
      <c r="H169" s="21">
        <v>1</v>
      </c>
      <c r="I169" s="26">
        <v>0</v>
      </c>
      <c r="J169" s="21">
        <f t="shared" si="0"/>
        <v>0</v>
      </c>
      <c r="K169" s="21">
        <f t="shared" si="1"/>
        <v>0</v>
      </c>
      <c r="L169" s="21">
        <f t="shared" si="2"/>
        <v>0</v>
      </c>
      <c r="M169" s="102" t="s">
        <v>764</v>
      </c>
      <c r="N169" s="5"/>
      <c r="Z169" s="38">
        <f t="shared" si="3"/>
        <v>0</v>
      </c>
      <c r="AB169" s="38">
        <f t="shared" si="4"/>
        <v>0</v>
      </c>
      <c r="AC169" s="38">
        <f t="shared" si="5"/>
        <v>0</v>
      </c>
      <c r="AD169" s="38">
        <f t="shared" si="6"/>
        <v>0</v>
      </c>
      <c r="AE169" s="38">
        <f t="shared" si="7"/>
        <v>0</v>
      </c>
      <c r="AF169" s="38">
        <f t="shared" si="8"/>
        <v>0</v>
      </c>
      <c r="AG169" s="38">
        <f t="shared" si="9"/>
        <v>0</v>
      </c>
      <c r="AH169" s="38">
        <f t="shared" si="10"/>
        <v>0</v>
      </c>
      <c r="AI169" s="37"/>
      <c r="AJ169" s="21">
        <f t="shared" si="11"/>
        <v>0</v>
      </c>
      <c r="AK169" s="21">
        <f t="shared" si="12"/>
        <v>0</v>
      </c>
      <c r="AL169" s="21">
        <f t="shared" si="13"/>
        <v>0</v>
      </c>
      <c r="AN169" s="38">
        <v>12</v>
      </c>
      <c r="AO169" s="38">
        <f t="shared" si="14"/>
        <v>0</v>
      </c>
      <c r="AP169" s="38">
        <f t="shared" si="15"/>
        <v>0</v>
      </c>
      <c r="AQ169" s="39" t="s">
        <v>8</v>
      </c>
      <c r="AV169" s="38">
        <f t="shared" si="16"/>
        <v>0</v>
      </c>
      <c r="AW169" s="38">
        <f t="shared" si="17"/>
        <v>0</v>
      </c>
      <c r="AX169" s="38">
        <f t="shared" si="18"/>
        <v>0</v>
      </c>
      <c r="AY169" s="41" t="s">
        <v>603</v>
      </c>
      <c r="AZ169" s="41" t="s">
        <v>614</v>
      </c>
      <c r="BA169" s="37" t="s">
        <v>616</v>
      </c>
      <c r="BC169" s="38">
        <f t="shared" si="19"/>
        <v>0</v>
      </c>
      <c r="BD169" s="38">
        <f t="shared" si="20"/>
        <v>0</v>
      </c>
      <c r="BE169" s="38">
        <v>0</v>
      </c>
      <c r="BF169" s="38">
        <f>169</f>
        <v>169</v>
      </c>
      <c r="BH169" s="21">
        <f t="shared" si="21"/>
        <v>0</v>
      </c>
      <c r="BI169" s="21">
        <f t="shared" si="22"/>
        <v>0</v>
      </c>
      <c r="BJ169" s="21">
        <f t="shared" si="23"/>
        <v>0</v>
      </c>
      <c r="BK169" s="21" t="s">
        <v>621</v>
      </c>
      <c r="BL169" s="38" t="s">
        <v>238</v>
      </c>
    </row>
    <row r="170" spans="1:64" x14ac:dyDescent="0.2">
      <c r="A170" s="4" t="s">
        <v>93</v>
      </c>
      <c r="B170" s="13" t="s">
        <v>254</v>
      </c>
      <c r="C170" s="164" t="s">
        <v>471</v>
      </c>
      <c r="D170" s="165"/>
      <c r="E170" s="165"/>
      <c r="F170" s="165"/>
      <c r="G170" s="13" t="s">
        <v>543</v>
      </c>
      <c r="H170" s="21">
        <v>1</v>
      </c>
      <c r="I170" s="26">
        <v>0</v>
      </c>
      <c r="J170" s="21">
        <f t="shared" si="0"/>
        <v>0</v>
      </c>
      <c r="K170" s="21">
        <f t="shared" si="1"/>
        <v>0</v>
      </c>
      <c r="L170" s="21">
        <f t="shared" si="2"/>
        <v>0</v>
      </c>
      <c r="M170" s="102" t="s">
        <v>764</v>
      </c>
      <c r="N170" s="5"/>
      <c r="Z170" s="38">
        <f t="shared" si="3"/>
        <v>0</v>
      </c>
      <c r="AB170" s="38">
        <f t="shared" si="4"/>
        <v>0</v>
      </c>
      <c r="AC170" s="38">
        <f t="shared" si="5"/>
        <v>0</v>
      </c>
      <c r="AD170" s="38">
        <f t="shared" si="6"/>
        <v>0</v>
      </c>
      <c r="AE170" s="38">
        <f t="shared" si="7"/>
        <v>0</v>
      </c>
      <c r="AF170" s="38">
        <f t="shared" si="8"/>
        <v>0</v>
      </c>
      <c r="AG170" s="38">
        <f t="shared" si="9"/>
        <v>0</v>
      </c>
      <c r="AH170" s="38">
        <f t="shared" si="10"/>
        <v>0</v>
      </c>
      <c r="AI170" s="37"/>
      <c r="AJ170" s="21">
        <f t="shared" si="11"/>
        <v>0</v>
      </c>
      <c r="AK170" s="21">
        <f t="shared" si="12"/>
        <v>0</v>
      </c>
      <c r="AL170" s="21">
        <f t="shared" si="13"/>
        <v>0</v>
      </c>
      <c r="AN170" s="38">
        <v>12</v>
      </c>
      <c r="AO170" s="38">
        <f t="shared" si="14"/>
        <v>0</v>
      </c>
      <c r="AP170" s="38">
        <f t="shared" si="15"/>
        <v>0</v>
      </c>
      <c r="AQ170" s="39" t="s">
        <v>8</v>
      </c>
      <c r="AV170" s="38">
        <f t="shared" si="16"/>
        <v>0</v>
      </c>
      <c r="AW170" s="38">
        <f t="shared" si="17"/>
        <v>0</v>
      </c>
      <c r="AX170" s="38">
        <f t="shared" si="18"/>
        <v>0</v>
      </c>
      <c r="AY170" s="41" t="s">
        <v>603</v>
      </c>
      <c r="AZ170" s="41" t="s">
        <v>614</v>
      </c>
      <c r="BA170" s="37" t="s">
        <v>616</v>
      </c>
      <c r="BC170" s="38">
        <f t="shared" si="19"/>
        <v>0</v>
      </c>
      <c r="BD170" s="38">
        <f t="shared" si="20"/>
        <v>0</v>
      </c>
      <c r="BE170" s="38">
        <v>0</v>
      </c>
      <c r="BF170" s="38">
        <f>170</f>
        <v>170</v>
      </c>
      <c r="BH170" s="21">
        <f t="shared" si="21"/>
        <v>0</v>
      </c>
      <c r="BI170" s="21">
        <f t="shared" si="22"/>
        <v>0</v>
      </c>
      <c r="BJ170" s="21">
        <f t="shared" si="23"/>
        <v>0</v>
      </c>
      <c r="BK170" s="21" t="s">
        <v>621</v>
      </c>
      <c r="BL170" s="38" t="s">
        <v>238</v>
      </c>
    </row>
    <row r="171" spans="1:64" x14ac:dyDescent="0.2">
      <c r="A171" s="4" t="s">
        <v>94</v>
      </c>
      <c r="B171" s="13" t="s">
        <v>255</v>
      </c>
      <c r="C171" s="164" t="s">
        <v>472</v>
      </c>
      <c r="D171" s="165"/>
      <c r="E171" s="165"/>
      <c r="F171" s="165"/>
      <c r="G171" s="13" t="s">
        <v>543</v>
      </c>
      <c r="H171" s="21">
        <v>1</v>
      </c>
      <c r="I171" s="26">
        <v>0</v>
      </c>
      <c r="J171" s="21">
        <f t="shared" si="0"/>
        <v>0</v>
      </c>
      <c r="K171" s="21">
        <f t="shared" si="1"/>
        <v>0</v>
      </c>
      <c r="L171" s="21">
        <f t="shared" si="2"/>
        <v>0</v>
      </c>
      <c r="M171" s="102" t="s">
        <v>764</v>
      </c>
      <c r="N171" s="5"/>
      <c r="Z171" s="38">
        <f t="shared" si="3"/>
        <v>0</v>
      </c>
      <c r="AB171" s="38">
        <f t="shared" si="4"/>
        <v>0</v>
      </c>
      <c r="AC171" s="38">
        <f t="shared" si="5"/>
        <v>0</v>
      </c>
      <c r="AD171" s="38">
        <f t="shared" si="6"/>
        <v>0</v>
      </c>
      <c r="AE171" s="38">
        <f t="shared" si="7"/>
        <v>0</v>
      </c>
      <c r="AF171" s="38">
        <f t="shared" si="8"/>
        <v>0</v>
      </c>
      <c r="AG171" s="38">
        <f t="shared" si="9"/>
        <v>0</v>
      </c>
      <c r="AH171" s="38">
        <f t="shared" si="10"/>
        <v>0</v>
      </c>
      <c r="AI171" s="37"/>
      <c r="AJ171" s="21">
        <f t="shared" si="11"/>
        <v>0</v>
      </c>
      <c r="AK171" s="21">
        <f t="shared" si="12"/>
        <v>0</v>
      </c>
      <c r="AL171" s="21">
        <f t="shared" si="13"/>
        <v>0</v>
      </c>
      <c r="AN171" s="38">
        <v>12</v>
      </c>
      <c r="AO171" s="38">
        <f t="shared" si="14"/>
        <v>0</v>
      </c>
      <c r="AP171" s="38">
        <f t="shared" si="15"/>
        <v>0</v>
      </c>
      <c r="AQ171" s="39" t="s">
        <v>8</v>
      </c>
      <c r="AV171" s="38">
        <f t="shared" si="16"/>
        <v>0</v>
      </c>
      <c r="AW171" s="38">
        <f t="shared" si="17"/>
        <v>0</v>
      </c>
      <c r="AX171" s="38">
        <f t="shared" si="18"/>
        <v>0</v>
      </c>
      <c r="AY171" s="41" t="s">
        <v>603</v>
      </c>
      <c r="AZ171" s="41" t="s">
        <v>614</v>
      </c>
      <c r="BA171" s="37" t="s">
        <v>616</v>
      </c>
      <c r="BC171" s="38">
        <f t="shared" si="19"/>
        <v>0</v>
      </c>
      <c r="BD171" s="38">
        <f t="shared" si="20"/>
        <v>0</v>
      </c>
      <c r="BE171" s="38">
        <v>0</v>
      </c>
      <c r="BF171" s="38">
        <f>171</f>
        <v>171</v>
      </c>
      <c r="BH171" s="21">
        <f t="shared" si="21"/>
        <v>0</v>
      </c>
      <c r="BI171" s="21">
        <f t="shared" si="22"/>
        <v>0</v>
      </c>
      <c r="BJ171" s="21">
        <f t="shared" si="23"/>
        <v>0</v>
      </c>
      <c r="BK171" s="21" t="s">
        <v>621</v>
      </c>
      <c r="BL171" s="38" t="s">
        <v>238</v>
      </c>
    </row>
    <row r="172" spans="1:64" x14ac:dyDescent="0.2">
      <c r="A172" s="4" t="s">
        <v>95</v>
      </c>
      <c r="B172" s="13" t="s">
        <v>256</v>
      </c>
      <c r="C172" s="164" t="s">
        <v>473</v>
      </c>
      <c r="D172" s="165"/>
      <c r="E172" s="165"/>
      <c r="F172" s="165"/>
      <c r="G172" s="13" t="s">
        <v>543</v>
      </c>
      <c r="H172" s="21">
        <v>1</v>
      </c>
      <c r="I172" s="26">
        <v>0</v>
      </c>
      <c r="J172" s="21">
        <f t="shared" si="0"/>
        <v>0</v>
      </c>
      <c r="K172" s="21">
        <f t="shared" si="1"/>
        <v>0</v>
      </c>
      <c r="L172" s="21">
        <f t="shared" si="2"/>
        <v>0</v>
      </c>
      <c r="M172" s="102" t="s">
        <v>764</v>
      </c>
      <c r="N172" s="5"/>
      <c r="Z172" s="38">
        <f t="shared" si="3"/>
        <v>0</v>
      </c>
      <c r="AB172" s="38">
        <f t="shared" si="4"/>
        <v>0</v>
      </c>
      <c r="AC172" s="38">
        <f t="shared" si="5"/>
        <v>0</v>
      </c>
      <c r="AD172" s="38">
        <f t="shared" si="6"/>
        <v>0</v>
      </c>
      <c r="AE172" s="38">
        <f t="shared" si="7"/>
        <v>0</v>
      </c>
      <c r="AF172" s="38">
        <f t="shared" si="8"/>
        <v>0</v>
      </c>
      <c r="AG172" s="38">
        <f t="shared" si="9"/>
        <v>0</v>
      </c>
      <c r="AH172" s="38">
        <f t="shared" si="10"/>
        <v>0</v>
      </c>
      <c r="AI172" s="37"/>
      <c r="AJ172" s="21">
        <f t="shared" si="11"/>
        <v>0</v>
      </c>
      <c r="AK172" s="21">
        <f t="shared" si="12"/>
        <v>0</v>
      </c>
      <c r="AL172" s="21">
        <f t="shared" si="13"/>
        <v>0</v>
      </c>
      <c r="AN172" s="38">
        <v>12</v>
      </c>
      <c r="AO172" s="38">
        <f t="shared" si="14"/>
        <v>0</v>
      </c>
      <c r="AP172" s="38">
        <f t="shared" si="15"/>
        <v>0</v>
      </c>
      <c r="AQ172" s="39" t="s">
        <v>8</v>
      </c>
      <c r="AV172" s="38">
        <f t="shared" si="16"/>
        <v>0</v>
      </c>
      <c r="AW172" s="38">
        <f t="shared" si="17"/>
        <v>0</v>
      </c>
      <c r="AX172" s="38">
        <f t="shared" si="18"/>
        <v>0</v>
      </c>
      <c r="AY172" s="41" t="s">
        <v>603</v>
      </c>
      <c r="AZ172" s="41" t="s">
        <v>614</v>
      </c>
      <c r="BA172" s="37" t="s">
        <v>616</v>
      </c>
      <c r="BC172" s="38">
        <f t="shared" si="19"/>
        <v>0</v>
      </c>
      <c r="BD172" s="38">
        <f t="shared" si="20"/>
        <v>0</v>
      </c>
      <c r="BE172" s="38">
        <v>0</v>
      </c>
      <c r="BF172" s="38">
        <f>172</f>
        <v>172</v>
      </c>
      <c r="BH172" s="21">
        <f t="shared" si="21"/>
        <v>0</v>
      </c>
      <c r="BI172" s="21">
        <f t="shared" si="22"/>
        <v>0</v>
      </c>
      <c r="BJ172" s="21">
        <f t="shared" si="23"/>
        <v>0</v>
      </c>
      <c r="BK172" s="21" t="s">
        <v>621</v>
      </c>
      <c r="BL172" s="38" t="s">
        <v>238</v>
      </c>
    </row>
    <row r="173" spans="1:64" x14ac:dyDescent="0.2">
      <c r="A173" s="4" t="s">
        <v>96</v>
      </c>
      <c r="B173" s="13" t="s">
        <v>257</v>
      </c>
      <c r="C173" s="164" t="s">
        <v>474</v>
      </c>
      <c r="D173" s="165"/>
      <c r="E173" s="165"/>
      <c r="F173" s="165"/>
      <c r="G173" s="13" t="s">
        <v>543</v>
      </c>
      <c r="H173" s="21">
        <v>1</v>
      </c>
      <c r="I173" s="26">
        <v>0</v>
      </c>
      <c r="J173" s="21">
        <f t="shared" si="0"/>
        <v>0</v>
      </c>
      <c r="K173" s="21">
        <f t="shared" si="1"/>
        <v>0</v>
      </c>
      <c r="L173" s="21">
        <f t="shared" si="2"/>
        <v>0</v>
      </c>
      <c r="M173" s="102" t="s">
        <v>764</v>
      </c>
      <c r="N173" s="5"/>
      <c r="Z173" s="38">
        <f t="shared" si="3"/>
        <v>0</v>
      </c>
      <c r="AB173" s="38">
        <f t="shared" si="4"/>
        <v>0</v>
      </c>
      <c r="AC173" s="38">
        <f t="shared" si="5"/>
        <v>0</v>
      </c>
      <c r="AD173" s="38">
        <f t="shared" si="6"/>
        <v>0</v>
      </c>
      <c r="AE173" s="38">
        <f t="shared" si="7"/>
        <v>0</v>
      </c>
      <c r="AF173" s="38">
        <f t="shared" si="8"/>
        <v>0</v>
      </c>
      <c r="AG173" s="38">
        <f t="shared" si="9"/>
        <v>0</v>
      </c>
      <c r="AH173" s="38">
        <f t="shared" si="10"/>
        <v>0</v>
      </c>
      <c r="AI173" s="37"/>
      <c r="AJ173" s="21">
        <f t="shared" si="11"/>
        <v>0</v>
      </c>
      <c r="AK173" s="21">
        <f t="shared" si="12"/>
        <v>0</v>
      </c>
      <c r="AL173" s="21">
        <f t="shared" si="13"/>
        <v>0</v>
      </c>
      <c r="AN173" s="38">
        <v>12</v>
      </c>
      <c r="AO173" s="38">
        <f t="shared" si="14"/>
        <v>0</v>
      </c>
      <c r="AP173" s="38">
        <f t="shared" si="15"/>
        <v>0</v>
      </c>
      <c r="AQ173" s="39" t="s">
        <v>8</v>
      </c>
      <c r="AV173" s="38">
        <f t="shared" si="16"/>
        <v>0</v>
      </c>
      <c r="AW173" s="38">
        <f t="shared" si="17"/>
        <v>0</v>
      </c>
      <c r="AX173" s="38">
        <f t="shared" si="18"/>
        <v>0</v>
      </c>
      <c r="AY173" s="41" t="s">
        <v>603</v>
      </c>
      <c r="AZ173" s="41" t="s">
        <v>614</v>
      </c>
      <c r="BA173" s="37" t="s">
        <v>616</v>
      </c>
      <c r="BC173" s="38">
        <f t="shared" si="19"/>
        <v>0</v>
      </c>
      <c r="BD173" s="38">
        <f t="shared" si="20"/>
        <v>0</v>
      </c>
      <c r="BE173" s="38">
        <v>0</v>
      </c>
      <c r="BF173" s="38">
        <f>173</f>
        <v>173</v>
      </c>
      <c r="BH173" s="21">
        <f t="shared" si="21"/>
        <v>0</v>
      </c>
      <c r="BI173" s="21">
        <f t="shared" si="22"/>
        <v>0</v>
      </c>
      <c r="BJ173" s="21">
        <f t="shared" si="23"/>
        <v>0</v>
      </c>
      <c r="BK173" s="21" t="s">
        <v>621</v>
      </c>
      <c r="BL173" s="38" t="s">
        <v>238</v>
      </c>
    </row>
    <row r="174" spans="1:64" x14ac:dyDescent="0.2">
      <c r="A174" s="4" t="s">
        <v>97</v>
      </c>
      <c r="B174" s="13" t="s">
        <v>258</v>
      </c>
      <c r="C174" s="164" t="s">
        <v>475</v>
      </c>
      <c r="D174" s="165"/>
      <c r="E174" s="165"/>
      <c r="F174" s="165"/>
      <c r="G174" s="13" t="s">
        <v>543</v>
      </c>
      <c r="H174" s="21">
        <v>1</v>
      </c>
      <c r="I174" s="26">
        <v>0</v>
      </c>
      <c r="J174" s="21">
        <f t="shared" si="0"/>
        <v>0</v>
      </c>
      <c r="K174" s="21">
        <f t="shared" si="1"/>
        <v>0</v>
      </c>
      <c r="L174" s="21">
        <f t="shared" si="2"/>
        <v>0</v>
      </c>
      <c r="M174" s="102" t="s">
        <v>764</v>
      </c>
      <c r="N174" s="5"/>
      <c r="Z174" s="38">
        <f t="shared" si="3"/>
        <v>0</v>
      </c>
      <c r="AB174" s="38">
        <f t="shared" si="4"/>
        <v>0</v>
      </c>
      <c r="AC174" s="38">
        <f t="shared" si="5"/>
        <v>0</v>
      </c>
      <c r="AD174" s="38">
        <f t="shared" si="6"/>
        <v>0</v>
      </c>
      <c r="AE174" s="38">
        <f t="shared" si="7"/>
        <v>0</v>
      </c>
      <c r="AF174" s="38">
        <f t="shared" si="8"/>
        <v>0</v>
      </c>
      <c r="AG174" s="38">
        <f t="shared" si="9"/>
        <v>0</v>
      </c>
      <c r="AH174" s="38">
        <f t="shared" si="10"/>
        <v>0</v>
      </c>
      <c r="AI174" s="37"/>
      <c r="AJ174" s="21">
        <f t="shared" si="11"/>
        <v>0</v>
      </c>
      <c r="AK174" s="21">
        <f t="shared" si="12"/>
        <v>0</v>
      </c>
      <c r="AL174" s="21">
        <f t="shared" si="13"/>
        <v>0</v>
      </c>
      <c r="AN174" s="38">
        <v>12</v>
      </c>
      <c r="AO174" s="38">
        <f t="shared" si="14"/>
        <v>0</v>
      </c>
      <c r="AP174" s="38">
        <f t="shared" si="15"/>
        <v>0</v>
      </c>
      <c r="AQ174" s="39" t="s">
        <v>8</v>
      </c>
      <c r="AV174" s="38">
        <f t="shared" si="16"/>
        <v>0</v>
      </c>
      <c r="AW174" s="38">
        <f t="shared" si="17"/>
        <v>0</v>
      </c>
      <c r="AX174" s="38">
        <f t="shared" si="18"/>
        <v>0</v>
      </c>
      <c r="AY174" s="41" t="s">
        <v>603</v>
      </c>
      <c r="AZ174" s="41" t="s">
        <v>614</v>
      </c>
      <c r="BA174" s="37" t="s">
        <v>616</v>
      </c>
      <c r="BC174" s="38">
        <f t="shared" si="19"/>
        <v>0</v>
      </c>
      <c r="BD174" s="38">
        <f t="shared" si="20"/>
        <v>0</v>
      </c>
      <c r="BE174" s="38">
        <v>0</v>
      </c>
      <c r="BF174" s="38">
        <f>174</f>
        <v>174</v>
      </c>
      <c r="BH174" s="21">
        <f t="shared" si="21"/>
        <v>0</v>
      </c>
      <c r="BI174" s="21">
        <f t="shared" si="22"/>
        <v>0</v>
      </c>
      <c r="BJ174" s="21">
        <f t="shared" si="23"/>
        <v>0</v>
      </c>
      <c r="BK174" s="21" t="s">
        <v>621</v>
      </c>
      <c r="BL174" s="38" t="s">
        <v>238</v>
      </c>
    </row>
    <row r="175" spans="1:64" x14ac:dyDescent="0.2">
      <c r="A175" s="6"/>
      <c r="B175" s="15" t="s">
        <v>259</v>
      </c>
      <c r="C175" s="166" t="s">
        <v>476</v>
      </c>
      <c r="D175" s="167"/>
      <c r="E175" s="167"/>
      <c r="F175" s="167"/>
      <c r="G175" s="19" t="s">
        <v>6</v>
      </c>
      <c r="H175" s="19" t="s">
        <v>6</v>
      </c>
      <c r="I175" s="27" t="s">
        <v>6</v>
      </c>
      <c r="J175" s="44">
        <f>SUM(J176:J187)</f>
        <v>0</v>
      </c>
      <c r="K175" s="44">
        <f>SUM(K176:K187)</f>
        <v>0</v>
      </c>
      <c r="L175" s="44">
        <f>SUM(L176:L187)</f>
        <v>0</v>
      </c>
      <c r="M175" s="103"/>
      <c r="N175" s="5"/>
      <c r="AI175" s="37"/>
      <c r="AS175" s="44">
        <f>SUM(AJ176:AJ187)</f>
        <v>0</v>
      </c>
      <c r="AT175" s="44">
        <f>SUM(AK176:AK187)</f>
        <v>0</v>
      </c>
      <c r="AU175" s="44">
        <f>SUM(AL176:AL187)</f>
        <v>0</v>
      </c>
    </row>
    <row r="176" spans="1:64" x14ac:dyDescent="0.2">
      <c r="A176" s="4" t="s">
        <v>98</v>
      </c>
      <c r="B176" s="13" t="s">
        <v>260</v>
      </c>
      <c r="C176" s="164" t="s">
        <v>477</v>
      </c>
      <c r="D176" s="165"/>
      <c r="E176" s="165"/>
      <c r="F176" s="165"/>
      <c r="G176" s="13" t="s">
        <v>538</v>
      </c>
      <c r="H176" s="21">
        <v>0.2</v>
      </c>
      <c r="I176" s="26">
        <v>0</v>
      </c>
      <c r="J176" s="21">
        <f t="shared" ref="J176:J187" si="24">H176*AO176</f>
        <v>0</v>
      </c>
      <c r="K176" s="21">
        <f t="shared" ref="K176:K187" si="25">H176*AP176</f>
        <v>0</v>
      </c>
      <c r="L176" s="21">
        <f t="shared" ref="L176:L187" si="26">H176*I176</f>
        <v>0</v>
      </c>
      <c r="M176" s="102" t="s">
        <v>763</v>
      </c>
      <c r="N176" s="5"/>
      <c r="Z176" s="38">
        <f t="shared" ref="Z176:Z187" si="27">IF(AQ176="5",BJ176,0)</f>
        <v>0</v>
      </c>
      <c r="AB176" s="38">
        <f t="shared" ref="AB176:AB187" si="28">IF(AQ176="1",BH176,0)</f>
        <v>0</v>
      </c>
      <c r="AC176" s="38">
        <f t="shared" ref="AC176:AC187" si="29">IF(AQ176="1",BI176,0)</f>
        <v>0</v>
      </c>
      <c r="AD176" s="38">
        <f t="shared" ref="AD176:AD187" si="30">IF(AQ176="7",BH176,0)</f>
        <v>0</v>
      </c>
      <c r="AE176" s="38">
        <f t="shared" ref="AE176:AE187" si="31">IF(AQ176="7",BI176,0)</f>
        <v>0</v>
      </c>
      <c r="AF176" s="38">
        <f t="shared" ref="AF176:AF187" si="32">IF(AQ176="2",BH176,0)</f>
        <v>0</v>
      </c>
      <c r="AG176" s="38">
        <f t="shared" ref="AG176:AG187" si="33">IF(AQ176="2",BI176,0)</f>
        <v>0</v>
      </c>
      <c r="AH176" s="38">
        <f t="shared" ref="AH176:AH187" si="34">IF(AQ176="0",BJ176,0)</f>
        <v>0</v>
      </c>
      <c r="AI176" s="37"/>
      <c r="AJ176" s="21">
        <f t="shared" ref="AJ176:AJ187" si="35">IF(AN176=0,L176,0)</f>
        <v>0</v>
      </c>
      <c r="AK176" s="21">
        <f t="shared" ref="AK176:AK187" si="36">IF(AN176=12,L176,0)</f>
        <v>0</v>
      </c>
      <c r="AL176" s="21">
        <f t="shared" ref="AL176:AL187" si="37">IF(AN176=21,L176,0)</f>
        <v>0</v>
      </c>
      <c r="AN176" s="38">
        <v>12</v>
      </c>
      <c r="AO176" s="38">
        <f t="shared" ref="AO176:AO185" si="38">I176*0</f>
        <v>0</v>
      </c>
      <c r="AP176" s="38">
        <f t="shared" ref="AP176:AP185" si="39">I176*(1-0)</f>
        <v>0</v>
      </c>
      <c r="AQ176" s="39" t="s">
        <v>11</v>
      </c>
      <c r="AV176" s="38">
        <f t="shared" ref="AV176:AV187" si="40">AW176+AX176</f>
        <v>0</v>
      </c>
      <c r="AW176" s="38">
        <f t="shared" ref="AW176:AW187" si="41">H176*AO176</f>
        <v>0</v>
      </c>
      <c r="AX176" s="38">
        <f t="shared" ref="AX176:AX187" si="42">H176*AP176</f>
        <v>0</v>
      </c>
      <c r="AY176" s="41" t="s">
        <v>604</v>
      </c>
      <c r="AZ176" s="41" t="s">
        <v>614</v>
      </c>
      <c r="BA176" s="37" t="s">
        <v>616</v>
      </c>
      <c r="BC176" s="38">
        <f t="shared" ref="BC176:BC187" si="43">AW176+AX176</f>
        <v>0</v>
      </c>
      <c r="BD176" s="38">
        <f t="shared" ref="BD176:BD187" si="44">I176/(100-BE176)*100</f>
        <v>0</v>
      </c>
      <c r="BE176" s="38">
        <v>0</v>
      </c>
      <c r="BF176" s="38">
        <f>176</f>
        <v>176</v>
      </c>
      <c r="BH176" s="21">
        <f t="shared" ref="BH176:BH187" si="45">H176*AO176</f>
        <v>0</v>
      </c>
      <c r="BI176" s="21">
        <f t="shared" ref="BI176:BI187" si="46">H176*AP176</f>
        <v>0</v>
      </c>
      <c r="BJ176" s="21">
        <f t="shared" ref="BJ176:BJ187" si="47">H176*I176</f>
        <v>0</v>
      </c>
      <c r="BK176" s="21" t="s">
        <v>621</v>
      </c>
      <c r="BL176" s="38" t="s">
        <v>259</v>
      </c>
    </row>
    <row r="177" spans="1:64" x14ac:dyDescent="0.2">
      <c r="A177" s="4" t="s">
        <v>99</v>
      </c>
      <c r="B177" s="13" t="s">
        <v>261</v>
      </c>
      <c r="C177" s="164" t="s">
        <v>478</v>
      </c>
      <c r="D177" s="165"/>
      <c r="E177" s="165"/>
      <c r="F177" s="165"/>
      <c r="G177" s="13" t="s">
        <v>538</v>
      </c>
      <c r="H177" s="21">
        <v>0.8</v>
      </c>
      <c r="I177" s="26">
        <v>0</v>
      </c>
      <c r="J177" s="21">
        <f t="shared" si="24"/>
        <v>0</v>
      </c>
      <c r="K177" s="21">
        <f t="shared" si="25"/>
        <v>0</v>
      </c>
      <c r="L177" s="21">
        <f t="shared" si="26"/>
        <v>0</v>
      </c>
      <c r="M177" s="102" t="s">
        <v>763</v>
      </c>
      <c r="N177" s="5"/>
      <c r="Z177" s="38">
        <f t="shared" si="27"/>
        <v>0</v>
      </c>
      <c r="AB177" s="38">
        <f t="shared" si="28"/>
        <v>0</v>
      </c>
      <c r="AC177" s="38">
        <f t="shared" si="29"/>
        <v>0</v>
      </c>
      <c r="AD177" s="38">
        <f t="shared" si="30"/>
        <v>0</v>
      </c>
      <c r="AE177" s="38">
        <f t="shared" si="31"/>
        <v>0</v>
      </c>
      <c r="AF177" s="38">
        <f t="shared" si="32"/>
        <v>0</v>
      </c>
      <c r="AG177" s="38">
        <f t="shared" si="33"/>
        <v>0</v>
      </c>
      <c r="AH177" s="38">
        <f t="shared" si="34"/>
        <v>0</v>
      </c>
      <c r="AI177" s="37"/>
      <c r="AJ177" s="21">
        <f t="shared" si="35"/>
        <v>0</v>
      </c>
      <c r="AK177" s="21">
        <f t="shared" si="36"/>
        <v>0</v>
      </c>
      <c r="AL177" s="21">
        <f t="shared" si="37"/>
        <v>0</v>
      </c>
      <c r="AN177" s="38">
        <v>12</v>
      </c>
      <c r="AO177" s="38">
        <f t="shared" si="38"/>
        <v>0</v>
      </c>
      <c r="AP177" s="38">
        <f t="shared" si="39"/>
        <v>0</v>
      </c>
      <c r="AQ177" s="39" t="s">
        <v>11</v>
      </c>
      <c r="AV177" s="38">
        <f t="shared" si="40"/>
        <v>0</v>
      </c>
      <c r="AW177" s="38">
        <f t="shared" si="41"/>
        <v>0</v>
      </c>
      <c r="AX177" s="38">
        <f t="shared" si="42"/>
        <v>0</v>
      </c>
      <c r="AY177" s="41" t="s">
        <v>604</v>
      </c>
      <c r="AZ177" s="41" t="s">
        <v>614</v>
      </c>
      <c r="BA177" s="37" t="s">
        <v>616</v>
      </c>
      <c r="BC177" s="38">
        <f t="shared" si="43"/>
        <v>0</v>
      </c>
      <c r="BD177" s="38">
        <f t="shared" si="44"/>
        <v>0</v>
      </c>
      <c r="BE177" s="38">
        <v>0</v>
      </c>
      <c r="BF177" s="38">
        <f>177</f>
        <v>177</v>
      </c>
      <c r="BH177" s="21">
        <f t="shared" si="45"/>
        <v>0</v>
      </c>
      <c r="BI177" s="21">
        <f t="shared" si="46"/>
        <v>0</v>
      </c>
      <c r="BJ177" s="21">
        <f t="shared" si="47"/>
        <v>0</v>
      </c>
      <c r="BK177" s="21" t="s">
        <v>621</v>
      </c>
      <c r="BL177" s="38" t="s">
        <v>259</v>
      </c>
    </row>
    <row r="178" spans="1:64" x14ac:dyDescent="0.2">
      <c r="A178" s="4" t="s">
        <v>100</v>
      </c>
      <c r="B178" s="13" t="s">
        <v>262</v>
      </c>
      <c r="C178" s="164" t="s">
        <v>479</v>
      </c>
      <c r="D178" s="165"/>
      <c r="E178" s="165"/>
      <c r="F178" s="165"/>
      <c r="G178" s="13" t="s">
        <v>538</v>
      </c>
      <c r="H178" s="21">
        <v>0.7</v>
      </c>
      <c r="I178" s="26">
        <v>0</v>
      </c>
      <c r="J178" s="21">
        <f t="shared" si="24"/>
        <v>0</v>
      </c>
      <c r="K178" s="21">
        <f t="shared" si="25"/>
        <v>0</v>
      </c>
      <c r="L178" s="21">
        <f t="shared" si="26"/>
        <v>0</v>
      </c>
      <c r="M178" s="102" t="s">
        <v>763</v>
      </c>
      <c r="N178" s="5"/>
      <c r="Z178" s="38">
        <f t="shared" si="27"/>
        <v>0</v>
      </c>
      <c r="AB178" s="38">
        <f t="shared" si="28"/>
        <v>0</v>
      </c>
      <c r="AC178" s="38">
        <f t="shared" si="29"/>
        <v>0</v>
      </c>
      <c r="AD178" s="38">
        <f t="shared" si="30"/>
        <v>0</v>
      </c>
      <c r="AE178" s="38">
        <f t="shared" si="31"/>
        <v>0</v>
      </c>
      <c r="AF178" s="38">
        <f t="shared" si="32"/>
        <v>0</v>
      </c>
      <c r="AG178" s="38">
        <f t="shared" si="33"/>
        <v>0</v>
      </c>
      <c r="AH178" s="38">
        <f t="shared" si="34"/>
        <v>0</v>
      </c>
      <c r="AI178" s="37"/>
      <c r="AJ178" s="21">
        <f t="shared" si="35"/>
        <v>0</v>
      </c>
      <c r="AK178" s="21">
        <f t="shared" si="36"/>
        <v>0</v>
      </c>
      <c r="AL178" s="21">
        <f t="shared" si="37"/>
        <v>0</v>
      </c>
      <c r="AN178" s="38">
        <v>12</v>
      </c>
      <c r="AO178" s="38">
        <f t="shared" si="38"/>
        <v>0</v>
      </c>
      <c r="AP178" s="38">
        <f t="shared" si="39"/>
        <v>0</v>
      </c>
      <c r="AQ178" s="39" t="s">
        <v>11</v>
      </c>
      <c r="AV178" s="38">
        <f t="shared" si="40"/>
        <v>0</v>
      </c>
      <c r="AW178" s="38">
        <f t="shared" si="41"/>
        <v>0</v>
      </c>
      <c r="AX178" s="38">
        <f t="shared" si="42"/>
        <v>0</v>
      </c>
      <c r="AY178" s="41" t="s">
        <v>604</v>
      </c>
      <c r="AZ178" s="41" t="s">
        <v>614</v>
      </c>
      <c r="BA178" s="37" t="s">
        <v>616</v>
      </c>
      <c r="BC178" s="38">
        <f t="shared" si="43"/>
        <v>0</v>
      </c>
      <c r="BD178" s="38">
        <f t="shared" si="44"/>
        <v>0</v>
      </c>
      <c r="BE178" s="38">
        <v>0</v>
      </c>
      <c r="BF178" s="38">
        <f>178</f>
        <v>178</v>
      </c>
      <c r="BH178" s="21">
        <f t="shared" si="45"/>
        <v>0</v>
      </c>
      <c r="BI178" s="21">
        <f t="shared" si="46"/>
        <v>0</v>
      </c>
      <c r="BJ178" s="21">
        <f t="shared" si="47"/>
        <v>0</v>
      </c>
      <c r="BK178" s="21" t="s">
        <v>621</v>
      </c>
      <c r="BL178" s="38" t="s">
        <v>259</v>
      </c>
    </row>
    <row r="179" spans="1:64" x14ac:dyDescent="0.2">
      <c r="A179" s="4" t="s">
        <v>101</v>
      </c>
      <c r="B179" s="13" t="s">
        <v>263</v>
      </c>
      <c r="C179" s="164" t="s">
        <v>480</v>
      </c>
      <c r="D179" s="165"/>
      <c r="E179" s="165"/>
      <c r="F179" s="165"/>
      <c r="G179" s="13" t="s">
        <v>538</v>
      </c>
      <c r="H179" s="21">
        <v>0.25</v>
      </c>
      <c r="I179" s="26">
        <v>0</v>
      </c>
      <c r="J179" s="21">
        <f t="shared" si="24"/>
        <v>0</v>
      </c>
      <c r="K179" s="21">
        <f t="shared" si="25"/>
        <v>0</v>
      </c>
      <c r="L179" s="21">
        <f t="shared" si="26"/>
        <v>0</v>
      </c>
      <c r="M179" s="102" t="s">
        <v>763</v>
      </c>
      <c r="N179" s="5"/>
      <c r="Z179" s="38">
        <f t="shared" si="27"/>
        <v>0</v>
      </c>
      <c r="AB179" s="38">
        <f t="shared" si="28"/>
        <v>0</v>
      </c>
      <c r="AC179" s="38">
        <f t="shared" si="29"/>
        <v>0</v>
      </c>
      <c r="AD179" s="38">
        <f t="shared" si="30"/>
        <v>0</v>
      </c>
      <c r="AE179" s="38">
        <f t="shared" si="31"/>
        <v>0</v>
      </c>
      <c r="AF179" s="38">
        <f t="shared" si="32"/>
        <v>0</v>
      </c>
      <c r="AG179" s="38">
        <f t="shared" si="33"/>
        <v>0</v>
      </c>
      <c r="AH179" s="38">
        <f t="shared" si="34"/>
        <v>0</v>
      </c>
      <c r="AI179" s="37"/>
      <c r="AJ179" s="21">
        <f t="shared" si="35"/>
        <v>0</v>
      </c>
      <c r="AK179" s="21">
        <f t="shared" si="36"/>
        <v>0</v>
      </c>
      <c r="AL179" s="21">
        <f t="shared" si="37"/>
        <v>0</v>
      </c>
      <c r="AN179" s="38">
        <v>12</v>
      </c>
      <c r="AO179" s="38">
        <f t="shared" si="38"/>
        <v>0</v>
      </c>
      <c r="AP179" s="38">
        <f t="shared" si="39"/>
        <v>0</v>
      </c>
      <c r="AQ179" s="39" t="s">
        <v>11</v>
      </c>
      <c r="AV179" s="38">
        <f t="shared" si="40"/>
        <v>0</v>
      </c>
      <c r="AW179" s="38">
        <f t="shared" si="41"/>
        <v>0</v>
      </c>
      <c r="AX179" s="38">
        <f t="shared" si="42"/>
        <v>0</v>
      </c>
      <c r="AY179" s="41" t="s">
        <v>604</v>
      </c>
      <c r="AZ179" s="41" t="s">
        <v>614</v>
      </c>
      <c r="BA179" s="37" t="s">
        <v>616</v>
      </c>
      <c r="BC179" s="38">
        <f t="shared" si="43"/>
        <v>0</v>
      </c>
      <c r="BD179" s="38">
        <f t="shared" si="44"/>
        <v>0</v>
      </c>
      <c r="BE179" s="38">
        <v>0</v>
      </c>
      <c r="BF179" s="38">
        <f>179</f>
        <v>179</v>
      </c>
      <c r="BH179" s="21">
        <f t="shared" si="45"/>
        <v>0</v>
      </c>
      <c r="BI179" s="21">
        <f t="shared" si="46"/>
        <v>0</v>
      </c>
      <c r="BJ179" s="21">
        <f t="shared" si="47"/>
        <v>0</v>
      </c>
      <c r="BK179" s="21" t="s">
        <v>621</v>
      </c>
      <c r="BL179" s="38" t="s">
        <v>259</v>
      </c>
    </row>
    <row r="180" spans="1:64" x14ac:dyDescent="0.2">
      <c r="A180" s="4" t="s">
        <v>102</v>
      </c>
      <c r="B180" s="13" t="s">
        <v>264</v>
      </c>
      <c r="C180" s="164" t="s">
        <v>481</v>
      </c>
      <c r="D180" s="165"/>
      <c r="E180" s="165"/>
      <c r="F180" s="165"/>
      <c r="G180" s="13" t="s">
        <v>538</v>
      </c>
      <c r="H180" s="21">
        <v>0.5</v>
      </c>
      <c r="I180" s="26">
        <v>0</v>
      </c>
      <c r="J180" s="21">
        <f t="shared" si="24"/>
        <v>0</v>
      </c>
      <c r="K180" s="21">
        <f t="shared" si="25"/>
        <v>0</v>
      </c>
      <c r="L180" s="21">
        <f t="shared" si="26"/>
        <v>0</v>
      </c>
      <c r="M180" s="102" t="s">
        <v>763</v>
      </c>
      <c r="N180" s="5"/>
      <c r="Z180" s="38">
        <f t="shared" si="27"/>
        <v>0</v>
      </c>
      <c r="AB180" s="38">
        <f t="shared" si="28"/>
        <v>0</v>
      </c>
      <c r="AC180" s="38">
        <f t="shared" si="29"/>
        <v>0</v>
      </c>
      <c r="AD180" s="38">
        <f t="shared" si="30"/>
        <v>0</v>
      </c>
      <c r="AE180" s="38">
        <f t="shared" si="31"/>
        <v>0</v>
      </c>
      <c r="AF180" s="38">
        <f t="shared" si="32"/>
        <v>0</v>
      </c>
      <c r="AG180" s="38">
        <f t="shared" si="33"/>
        <v>0</v>
      </c>
      <c r="AH180" s="38">
        <f t="shared" si="34"/>
        <v>0</v>
      </c>
      <c r="AI180" s="37"/>
      <c r="AJ180" s="21">
        <f t="shared" si="35"/>
        <v>0</v>
      </c>
      <c r="AK180" s="21">
        <f t="shared" si="36"/>
        <v>0</v>
      </c>
      <c r="AL180" s="21">
        <f t="shared" si="37"/>
        <v>0</v>
      </c>
      <c r="AN180" s="38">
        <v>12</v>
      </c>
      <c r="AO180" s="38">
        <f t="shared" si="38"/>
        <v>0</v>
      </c>
      <c r="AP180" s="38">
        <f t="shared" si="39"/>
        <v>0</v>
      </c>
      <c r="AQ180" s="39" t="s">
        <v>11</v>
      </c>
      <c r="AV180" s="38">
        <f t="shared" si="40"/>
        <v>0</v>
      </c>
      <c r="AW180" s="38">
        <f t="shared" si="41"/>
        <v>0</v>
      </c>
      <c r="AX180" s="38">
        <f t="shared" si="42"/>
        <v>0</v>
      </c>
      <c r="AY180" s="41" t="s">
        <v>604</v>
      </c>
      <c r="AZ180" s="41" t="s">
        <v>614</v>
      </c>
      <c r="BA180" s="37" t="s">
        <v>616</v>
      </c>
      <c r="BC180" s="38">
        <f t="shared" si="43"/>
        <v>0</v>
      </c>
      <c r="BD180" s="38">
        <f t="shared" si="44"/>
        <v>0</v>
      </c>
      <c r="BE180" s="38">
        <v>0</v>
      </c>
      <c r="BF180" s="38">
        <f>180</f>
        <v>180</v>
      </c>
      <c r="BH180" s="21">
        <f t="shared" si="45"/>
        <v>0</v>
      </c>
      <c r="BI180" s="21">
        <f t="shared" si="46"/>
        <v>0</v>
      </c>
      <c r="BJ180" s="21">
        <f t="shared" si="47"/>
        <v>0</v>
      </c>
      <c r="BK180" s="21" t="s">
        <v>621</v>
      </c>
      <c r="BL180" s="38" t="s">
        <v>259</v>
      </c>
    </row>
    <row r="181" spans="1:64" x14ac:dyDescent="0.2">
      <c r="A181" s="4" t="s">
        <v>103</v>
      </c>
      <c r="B181" s="13" t="s">
        <v>265</v>
      </c>
      <c r="C181" s="164" t="s">
        <v>482</v>
      </c>
      <c r="D181" s="165"/>
      <c r="E181" s="165"/>
      <c r="F181" s="165"/>
      <c r="G181" s="13" t="s">
        <v>538</v>
      </c>
      <c r="H181" s="21">
        <v>0.5</v>
      </c>
      <c r="I181" s="26">
        <v>0</v>
      </c>
      <c r="J181" s="21">
        <f t="shared" si="24"/>
        <v>0</v>
      </c>
      <c r="K181" s="21">
        <f t="shared" si="25"/>
        <v>0</v>
      </c>
      <c r="L181" s="21">
        <f t="shared" si="26"/>
        <v>0</v>
      </c>
      <c r="M181" s="102" t="s">
        <v>763</v>
      </c>
      <c r="N181" s="5"/>
      <c r="Z181" s="38">
        <f t="shared" si="27"/>
        <v>0</v>
      </c>
      <c r="AB181" s="38">
        <f t="shared" si="28"/>
        <v>0</v>
      </c>
      <c r="AC181" s="38">
        <f t="shared" si="29"/>
        <v>0</v>
      </c>
      <c r="AD181" s="38">
        <f t="shared" si="30"/>
        <v>0</v>
      </c>
      <c r="AE181" s="38">
        <f t="shared" si="31"/>
        <v>0</v>
      </c>
      <c r="AF181" s="38">
        <f t="shared" si="32"/>
        <v>0</v>
      </c>
      <c r="AG181" s="38">
        <f t="shared" si="33"/>
        <v>0</v>
      </c>
      <c r="AH181" s="38">
        <f t="shared" si="34"/>
        <v>0</v>
      </c>
      <c r="AI181" s="37"/>
      <c r="AJ181" s="21">
        <f t="shared" si="35"/>
        <v>0</v>
      </c>
      <c r="AK181" s="21">
        <f t="shared" si="36"/>
        <v>0</v>
      </c>
      <c r="AL181" s="21">
        <f t="shared" si="37"/>
        <v>0</v>
      </c>
      <c r="AN181" s="38">
        <v>12</v>
      </c>
      <c r="AO181" s="38">
        <f t="shared" si="38"/>
        <v>0</v>
      </c>
      <c r="AP181" s="38">
        <f t="shared" si="39"/>
        <v>0</v>
      </c>
      <c r="AQ181" s="39" t="s">
        <v>11</v>
      </c>
      <c r="AV181" s="38">
        <f t="shared" si="40"/>
        <v>0</v>
      </c>
      <c r="AW181" s="38">
        <f t="shared" si="41"/>
        <v>0</v>
      </c>
      <c r="AX181" s="38">
        <f t="shared" si="42"/>
        <v>0</v>
      </c>
      <c r="AY181" s="41" t="s">
        <v>604</v>
      </c>
      <c r="AZ181" s="41" t="s">
        <v>614</v>
      </c>
      <c r="BA181" s="37" t="s">
        <v>616</v>
      </c>
      <c r="BC181" s="38">
        <f t="shared" si="43"/>
        <v>0</v>
      </c>
      <c r="BD181" s="38">
        <f t="shared" si="44"/>
        <v>0</v>
      </c>
      <c r="BE181" s="38">
        <v>0</v>
      </c>
      <c r="BF181" s="38">
        <f>181</f>
        <v>181</v>
      </c>
      <c r="BH181" s="21">
        <f t="shared" si="45"/>
        <v>0</v>
      </c>
      <c r="BI181" s="21">
        <f t="shared" si="46"/>
        <v>0</v>
      </c>
      <c r="BJ181" s="21">
        <f t="shared" si="47"/>
        <v>0</v>
      </c>
      <c r="BK181" s="21" t="s">
        <v>621</v>
      </c>
      <c r="BL181" s="38" t="s">
        <v>259</v>
      </c>
    </row>
    <row r="182" spans="1:64" x14ac:dyDescent="0.2">
      <c r="A182" s="85" t="s">
        <v>104</v>
      </c>
      <c r="B182" s="86" t="s">
        <v>266</v>
      </c>
      <c r="C182" s="163" t="s">
        <v>483</v>
      </c>
      <c r="D182" s="165"/>
      <c r="E182" s="165"/>
      <c r="F182" s="165"/>
      <c r="G182" s="86" t="s">
        <v>538</v>
      </c>
      <c r="H182" s="87">
        <v>0.8</v>
      </c>
      <c r="I182" s="96">
        <v>0</v>
      </c>
      <c r="J182" s="87">
        <f t="shared" si="24"/>
        <v>0</v>
      </c>
      <c r="K182" s="87">
        <f t="shared" si="25"/>
        <v>0</v>
      </c>
      <c r="L182" s="87">
        <f t="shared" si="26"/>
        <v>0</v>
      </c>
      <c r="M182" s="102" t="s">
        <v>763</v>
      </c>
      <c r="N182" s="5"/>
      <c r="Z182" s="38">
        <f t="shared" si="27"/>
        <v>0</v>
      </c>
      <c r="AB182" s="38">
        <f t="shared" si="28"/>
        <v>0</v>
      </c>
      <c r="AC182" s="38">
        <f t="shared" si="29"/>
        <v>0</v>
      </c>
      <c r="AD182" s="38">
        <f t="shared" si="30"/>
        <v>0</v>
      </c>
      <c r="AE182" s="38">
        <f t="shared" si="31"/>
        <v>0</v>
      </c>
      <c r="AF182" s="38">
        <f t="shared" si="32"/>
        <v>0</v>
      </c>
      <c r="AG182" s="38">
        <f t="shared" si="33"/>
        <v>0</v>
      </c>
      <c r="AH182" s="38">
        <f t="shared" si="34"/>
        <v>0</v>
      </c>
      <c r="AI182" s="37"/>
      <c r="AJ182" s="21">
        <f t="shared" si="35"/>
        <v>0</v>
      </c>
      <c r="AK182" s="21">
        <f t="shared" si="36"/>
        <v>0</v>
      </c>
      <c r="AL182" s="21">
        <f t="shared" si="37"/>
        <v>0</v>
      </c>
      <c r="AN182" s="38">
        <v>12</v>
      </c>
      <c r="AO182" s="38">
        <f t="shared" si="38"/>
        <v>0</v>
      </c>
      <c r="AP182" s="38">
        <f t="shared" si="39"/>
        <v>0</v>
      </c>
      <c r="AQ182" s="39" t="s">
        <v>11</v>
      </c>
      <c r="AV182" s="38">
        <f t="shared" si="40"/>
        <v>0</v>
      </c>
      <c r="AW182" s="38">
        <f t="shared" si="41"/>
        <v>0</v>
      </c>
      <c r="AX182" s="38">
        <f t="shared" si="42"/>
        <v>0</v>
      </c>
      <c r="AY182" s="41" t="s">
        <v>604</v>
      </c>
      <c r="AZ182" s="41" t="s">
        <v>614</v>
      </c>
      <c r="BA182" s="37" t="s">
        <v>616</v>
      </c>
      <c r="BC182" s="38">
        <f t="shared" si="43"/>
        <v>0</v>
      </c>
      <c r="BD182" s="38">
        <f t="shared" si="44"/>
        <v>0</v>
      </c>
      <c r="BE182" s="38">
        <v>0</v>
      </c>
      <c r="BF182" s="38">
        <f>182</f>
        <v>182</v>
      </c>
      <c r="BH182" s="21">
        <f t="shared" si="45"/>
        <v>0</v>
      </c>
      <c r="BI182" s="21">
        <f t="shared" si="46"/>
        <v>0</v>
      </c>
      <c r="BJ182" s="21">
        <f t="shared" si="47"/>
        <v>0</v>
      </c>
      <c r="BK182" s="21" t="s">
        <v>621</v>
      </c>
      <c r="BL182" s="38" t="s">
        <v>259</v>
      </c>
    </row>
    <row r="183" spans="1:64" x14ac:dyDescent="0.2">
      <c r="A183" s="4" t="s">
        <v>105</v>
      </c>
      <c r="B183" s="13" t="s">
        <v>267</v>
      </c>
      <c r="C183" s="164" t="s">
        <v>484</v>
      </c>
      <c r="D183" s="165"/>
      <c r="E183" s="165"/>
      <c r="F183" s="165"/>
      <c r="G183" s="13" t="s">
        <v>538</v>
      </c>
      <c r="H183" s="21">
        <v>2.75</v>
      </c>
      <c r="I183" s="26">
        <v>0</v>
      </c>
      <c r="J183" s="21">
        <f t="shared" si="24"/>
        <v>0</v>
      </c>
      <c r="K183" s="21">
        <f t="shared" si="25"/>
        <v>0</v>
      </c>
      <c r="L183" s="21">
        <f t="shared" si="26"/>
        <v>0</v>
      </c>
      <c r="M183" s="102" t="s">
        <v>763</v>
      </c>
      <c r="N183" s="5"/>
      <c r="Z183" s="38">
        <f t="shared" si="27"/>
        <v>0</v>
      </c>
      <c r="AB183" s="38">
        <f t="shared" si="28"/>
        <v>0</v>
      </c>
      <c r="AC183" s="38">
        <f t="shared" si="29"/>
        <v>0</v>
      </c>
      <c r="AD183" s="38">
        <f t="shared" si="30"/>
        <v>0</v>
      </c>
      <c r="AE183" s="38">
        <f t="shared" si="31"/>
        <v>0</v>
      </c>
      <c r="AF183" s="38">
        <f t="shared" si="32"/>
        <v>0</v>
      </c>
      <c r="AG183" s="38">
        <f t="shared" si="33"/>
        <v>0</v>
      </c>
      <c r="AH183" s="38">
        <f t="shared" si="34"/>
        <v>0</v>
      </c>
      <c r="AI183" s="37"/>
      <c r="AJ183" s="21">
        <f t="shared" si="35"/>
        <v>0</v>
      </c>
      <c r="AK183" s="21">
        <f t="shared" si="36"/>
        <v>0</v>
      </c>
      <c r="AL183" s="21">
        <f t="shared" si="37"/>
        <v>0</v>
      </c>
      <c r="AN183" s="38">
        <v>12</v>
      </c>
      <c r="AO183" s="38">
        <f t="shared" si="38"/>
        <v>0</v>
      </c>
      <c r="AP183" s="38">
        <f t="shared" si="39"/>
        <v>0</v>
      </c>
      <c r="AQ183" s="39" t="s">
        <v>11</v>
      </c>
      <c r="AV183" s="38">
        <f t="shared" si="40"/>
        <v>0</v>
      </c>
      <c r="AW183" s="38">
        <f t="shared" si="41"/>
        <v>0</v>
      </c>
      <c r="AX183" s="38">
        <f t="shared" si="42"/>
        <v>0</v>
      </c>
      <c r="AY183" s="41" t="s">
        <v>604</v>
      </c>
      <c r="AZ183" s="41" t="s">
        <v>614</v>
      </c>
      <c r="BA183" s="37" t="s">
        <v>616</v>
      </c>
      <c r="BC183" s="38">
        <f t="shared" si="43"/>
        <v>0</v>
      </c>
      <c r="BD183" s="38">
        <f t="shared" si="44"/>
        <v>0</v>
      </c>
      <c r="BE183" s="38">
        <v>0</v>
      </c>
      <c r="BF183" s="38">
        <f>183</f>
        <v>183</v>
      </c>
      <c r="BH183" s="21">
        <f t="shared" si="45"/>
        <v>0</v>
      </c>
      <c r="BI183" s="21">
        <f t="shared" si="46"/>
        <v>0</v>
      </c>
      <c r="BJ183" s="21">
        <f t="shared" si="47"/>
        <v>0</v>
      </c>
      <c r="BK183" s="21" t="s">
        <v>621</v>
      </c>
      <c r="BL183" s="38" t="s">
        <v>259</v>
      </c>
    </row>
    <row r="184" spans="1:64" x14ac:dyDescent="0.2">
      <c r="A184" s="4" t="s">
        <v>106</v>
      </c>
      <c r="B184" s="13" t="s">
        <v>268</v>
      </c>
      <c r="C184" s="164" t="s">
        <v>485</v>
      </c>
      <c r="D184" s="165"/>
      <c r="E184" s="165"/>
      <c r="F184" s="165"/>
      <c r="G184" s="13" t="s">
        <v>538</v>
      </c>
      <c r="H184" s="21">
        <v>5</v>
      </c>
      <c r="I184" s="26">
        <v>0</v>
      </c>
      <c r="J184" s="21">
        <f t="shared" si="24"/>
        <v>0</v>
      </c>
      <c r="K184" s="21">
        <f t="shared" si="25"/>
        <v>0</v>
      </c>
      <c r="L184" s="21">
        <f t="shared" si="26"/>
        <v>0</v>
      </c>
      <c r="M184" s="102" t="s">
        <v>763</v>
      </c>
      <c r="N184" s="5"/>
      <c r="Z184" s="38">
        <f t="shared" si="27"/>
        <v>0</v>
      </c>
      <c r="AB184" s="38">
        <f t="shared" si="28"/>
        <v>0</v>
      </c>
      <c r="AC184" s="38">
        <f t="shared" si="29"/>
        <v>0</v>
      </c>
      <c r="AD184" s="38">
        <f t="shared" si="30"/>
        <v>0</v>
      </c>
      <c r="AE184" s="38">
        <f t="shared" si="31"/>
        <v>0</v>
      </c>
      <c r="AF184" s="38">
        <f t="shared" si="32"/>
        <v>0</v>
      </c>
      <c r="AG184" s="38">
        <f t="shared" si="33"/>
        <v>0</v>
      </c>
      <c r="AH184" s="38">
        <f t="shared" si="34"/>
        <v>0</v>
      </c>
      <c r="AI184" s="37"/>
      <c r="AJ184" s="21">
        <f t="shared" si="35"/>
        <v>0</v>
      </c>
      <c r="AK184" s="21">
        <f t="shared" si="36"/>
        <v>0</v>
      </c>
      <c r="AL184" s="21">
        <f t="shared" si="37"/>
        <v>0</v>
      </c>
      <c r="AN184" s="38">
        <v>12</v>
      </c>
      <c r="AO184" s="38">
        <f t="shared" si="38"/>
        <v>0</v>
      </c>
      <c r="AP184" s="38">
        <f t="shared" si="39"/>
        <v>0</v>
      </c>
      <c r="AQ184" s="39" t="s">
        <v>11</v>
      </c>
      <c r="AV184" s="38">
        <f t="shared" si="40"/>
        <v>0</v>
      </c>
      <c r="AW184" s="38">
        <f t="shared" si="41"/>
        <v>0</v>
      </c>
      <c r="AX184" s="38">
        <f t="shared" si="42"/>
        <v>0</v>
      </c>
      <c r="AY184" s="41" t="s">
        <v>604</v>
      </c>
      <c r="AZ184" s="41" t="s">
        <v>614</v>
      </c>
      <c r="BA184" s="37" t="s">
        <v>616</v>
      </c>
      <c r="BC184" s="38">
        <f t="shared" si="43"/>
        <v>0</v>
      </c>
      <c r="BD184" s="38">
        <f t="shared" si="44"/>
        <v>0</v>
      </c>
      <c r="BE184" s="38">
        <v>0</v>
      </c>
      <c r="BF184" s="38">
        <f>184</f>
        <v>184</v>
      </c>
      <c r="BH184" s="21">
        <f t="shared" si="45"/>
        <v>0</v>
      </c>
      <c r="BI184" s="21">
        <f t="shared" si="46"/>
        <v>0</v>
      </c>
      <c r="BJ184" s="21">
        <f t="shared" si="47"/>
        <v>0</v>
      </c>
      <c r="BK184" s="21" t="s">
        <v>621</v>
      </c>
      <c r="BL184" s="38" t="s">
        <v>259</v>
      </c>
    </row>
    <row r="185" spans="1:64" x14ac:dyDescent="0.2">
      <c r="A185" s="4" t="s">
        <v>107</v>
      </c>
      <c r="B185" s="13" t="s">
        <v>269</v>
      </c>
      <c r="C185" s="164" t="s">
        <v>486</v>
      </c>
      <c r="D185" s="165"/>
      <c r="E185" s="165"/>
      <c r="F185" s="165"/>
      <c r="G185" s="13" t="s">
        <v>538</v>
      </c>
      <c r="H185" s="21">
        <v>2.75</v>
      </c>
      <c r="I185" s="26">
        <v>0</v>
      </c>
      <c r="J185" s="21">
        <f t="shared" si="24"/>
        <v>0</v>
      </c>
      <c r="K185" s="21">
        <f t="shared" si="25"/>
        <v>0</v>
      </c>
      <c r="L185" s="21">
        <f t="shared" si="26"/>
        <v>0</v>
      </c>
      <c r="M185" s="102" t="s">
        <v>763</v>
      </c>
      <c r="N185" s="5"/>
      <c r="Z185" s="38">
        <f t="shared" si="27"/>
        <v>0</v>
      </c>
      <c r="AB185" s="38">
        <f t="shared" si="28"/>
        <v>0</v>
      </c>
      <c r="AC185" s="38">
        <f t="shared" si="29"/>
        <v>0</v>
      </c>
      <c r="AD185" s="38">
        <f t="shared" si="30"/>
        <v>0</v>
      </c>
      <c r="AE185" s="38">
        <f t="shared" si="31"/>
        <v>0</v>
      </c>
      <c r="AF185" s="38">
        <f t="shared" si="32"/>
        <v>0</v>
      </c>
      <c r="AG185" s="38">
        <f t="shared" si="33"/>
        <v>0</v>
      </c>
      <c r="AH185" s="38">
        <f t="shared" si="34"/>
        <v>0</v>
      </c>
      <c r="AI185" s="37"/>
      <c r="AJ185" s="21">
        <f t="shared" si="35"/>
        <v>0</v>
      </c>
      <c r="AK185" s="21">
        <f t="shared" si="36"/>
        <v>0</v>
      </c>
      <c r="AL185" s="21">
        <f t="shared" si="37"/>
        <v>0</v>
      </c>
      <c r="AN185" s="38">
        <v>12</v>
      </c>
      <c r="AO185" s="38">
        <f t="shared" si="38"/>
        <v>0</v>
      </c>
      <c r="AP185" s="38">
        <f t="shared" si="39"/>
        <v>0</v>
      </c>
      <c r="AQ185" s="39" t="s">
        <v>11</v>
      </c>
      <c r="AV185" s="38">
        <f t="shared" si="40"/>
        <v>0</v>
      </c>
      <c r="AW185" s="38">
        <f t="shared" si="41"/>
        <v>0</v>
      </c>
      <c r="AX185" s="38">
        <f t="shared" si="42"/>
        <v>0</v>
      </c>
      <c r="AY185" s="41" t="s">
        <v>604</v>
      </c>
      <c r="AZ185" s="41" t="s">
        <v>614</v>
      </c>
      <c r="BA185" s="37" t="s">
        <v>616</v>
      </c>
      <c r="BC185" s="38">
        <f t="shared" si="43"/>
        <v>0</v>
      </c>
      <c r="BD185" s="38">
        <f t="shared" si="44"/>
        <v>0</v>
      </c>
      <c r="BE185" s="38">
        <v>0</v>
      </c>
      <c r="BF185" s="38">
        <f>185</f>
        <v>185</v>
      </c>
      <c r="BH185" s="21">
        <f t="shared" si="45"/>
        <v>0</v>
      </c>
      <c r="BI185" s="21">
        <f t="shared" si="46"/>
        <v>0</v>
      </c>
      <c r="BJ185" s="21">
        <f t="shared" si="47"/>
        <v>0</v>
      </c>
      <c r="BK185" s="21" t="s">
        <v>621</v>
      </c>
      <c r="BL185" s="38" t="s">
        <v>259</v>
      </c>
    </row>
    <row r="186" spans="1:64" x14ac:dyDescent="0.2">
      <c r="A186" s="4" t="s">
        <v>108</v>
      </c>
      <c r="B186" s="13" t="s">
        <v>270</v>
      </c>
      <c r="C186" s="164" t="s">
        <v>487</v>
      </c>
      <c r="D186" s="165"/>
      <c r="E186" s="165"/>
      <c r="F186" s="165"/>
      <c r="G186" s="13" t="s">
        <v>538</v>
      </c>
      <c r="H186" s="21">
        <v>2.75</v>
      </c>
      <c r="I186" s="26">
        <v>0</v>
      </c>
      <c r="J186" s="21">
        <f t="shared" si="24"/>
        <v>0</v>
      </c>
      <c r="K186" s="21">
        <f t="shared" si="25"/>
        <v>0</v>
      </c>
      <c r="L186" s="21">
        <f t="shared" si="26"/>
        <v>0</v>
      </c>
      <c r="M186" s="102" t="s">
        <v>763</v>
      </c>
      <c r="N186" s="5"/>
      <c r="Z186" s="38">
        <f t="shared" si="27"/>
        <v>0</v>
      </c>
      <c r="AB186" s="38">
        <f t="shared" si="28"/>
        <v>0</v>
      </c>
      <c r="AC186" s="38">
        <f t="shared" si="29"/>
        <v>0</v>
      </c>
      <c r="AD186" s="38">
        <f t="shared" si="30"/>
        <v>0</v>
      </c>
      <c r="AE186" s="38">
        <f t="shared" si="31"/>
        <v>0</v>
      </c>
      <c r="AF186" s="38">
        <f t="shared" si="32"/>
        <v>0</v>
      </c>
      <c r="AG186" s="38">
        <f t="shared" si="33"/>
        <v>0</v>
      </c>
      <c r="AH186" s="38">
        <f t="shared" si="34"/>
        <v>0</v>
      </c>
      <c r="AI186" s="37"/>
      <c r="AJ186" s="21">
        <f t="shared" si="35"/>
        <v>0</v>
      </c>
      <c r="AK186" s="21">
        <f t="shared" si="36"/>
        <v>0</v>
      </c>
      <c r="AL186" s="21">
        <f t="shared" si="37"/>
        <v>0</v>
      </c>
      <c r="AN186" s="38">
        <v>12</v>
      </c>
      <c r="AO186" s="38">
        <f>I186*0.00978957139068524</f>
        <v>0</v>
      </c>
      <c r="AP186" s="38">
        <f>I186*(1-0.00978957139068524)</f>
        <v>0</v>
      </c>
      <c r="AQ186" s="39" t="s">
        <v>11</v>
      </c>
      <c r="AV186" s="38">
        <f t="shared" si="40"/>
        <v>0</v>
      </c>
      <c r="AW186" s="38">
        <f t="shared" si="41"/>
        <v>0</v>
      </c>
      <c r="AX186" s="38">
        <f t="shared" si="42"/>
        <v>0</v>
      </c>
      <c r="AY186" s="41" t="s">
        <v>604</v>
      </c>
      <c r="AZ186" s="41" t="s">
        <v>614</v>
      </c>
      <c r="BA186" s="37" t="s">
        <v>616</v>
      </c>
      <c r="BC186" s="38">
        <f t="shared" si="43"/>
        <v>0</v>
      </c>
      <c r="BD186" s="38">
        <f t="shared" si="44"/>
        <v>0</v>
      </c>
      <c r="BE186" s="38">
        <v>0</v>
      </c>
      <c r="BF186" s="38">
        <f>186</f>
        <v>186</v>
      </c>
      <c r="BH186" s="21">
        <f t="shared" si="45"/>
        <v>0</v>
      </c>
      <c r="BI186" s="21">
        <f t="shared" si="46"/>
        <v>0</v>
      </c>
      <c r="BJ186" s="21">
        <f t="shared" si="47"/>
        <v>0</v>
      </c>
      <c r="BK186" s="21" t="s">
        <v>621</v>
      </c>
      <c r="BL186" s="38" t="s">
        <v>259</v>
      </c>
    </row>
    <row r="187" spans="1:64" x14ac:dyDescent="0.2">
      <c r="A187" s="4" t="s">
        <v>109</v>
      </c>
      <c r="B187" s="13" t="s">
        <v>271</v>
      </c>
      <c r="C187" s="164" t="s">
        <v>488</v>
      </c>
      <c r="D187" s="165"/>
      <c r="E187" s="165"/>
      <c r="F187" s="165"/>
      <c r="G187" s="13" t="s">
        <v>538</v>
      </c>
      <c r="H187" s="21">
        <v>55</v>
      </c>
      <c r="I187" s="26">
        <v>0</v>
      </c>
      <c r="J187" s="21">
        <f t="shared" si="24"/>
        <v>0</v>
      </c>
      <c r="K187" s="21">
        <f t="shared" si="25"/>
        <v>0</v>
      </c>
      <c r="L187" s="21">
        <f t="shared" si="26"/>
        <v>0</v>
      </c>
      <c r="M187" s="102" t="s">
        <v>763</v>
      </c>
      <c r="N187" s="5"/>
      <c r="Z187" s="38">
        <f t="shared" si="27"/>
        <v>0</v>
      </c>
      <c r="AB187" s="38">
        <f t="shared" si="28"/>
        <v>0</v>
      </c>
      <c r="AC187" s="38">
        <f t="shared" si="29"/>
        <v>0</v>
      </c>
      <c r="AD187" s="38">
        <f t="shared" si="30"/>
        <v>0</v>
      </c>
      <c r="AE187" s="38">
        <f t="shared" si="31"/>
        <v>0</v>
      </c>
      <c r="AF187" s="38">
        <f t="shared" si="32"/>
        <v>0</v>
      </c>
      <c r="AG187" s="38">
        <f t="shared" si="33"/>
        <v>0</v>
      </c>
      <c r="AH187" s="38">
        <f t="shared" si="34"/>
        <v>0</v>
      </c>
      <c r="AI187" s="37"/>
      <c r="AJ187" s="21">
        <f t="shared" si="35"/>
        <v>0</v>
      </c>
      <c r="AK187" s="21">
        <f t="shared" si="36"/>
        <v>0</v>
      </c>
      <c r="AL187" s="21">
        <f t="shared" si="37"/>
        <v>0</v>
      </c>
      <c r="AN187" s="38">
        <v>12</v>
      </c>
      <c r="AO187" s="38">
        <f>I187*0</f>
        <v>0</v>
      </c>
      <c r="AP187" s="38">
        <f>I187*(1-0)</f>
        <v>0</v>
      </c>
      <c r="AQ187" s="39" t="s">
        <v>11</v>
      </c>
      <c r="AV187" s="38">
        <f t="shared" si="40"/>
        <v>0</v>
      </c>
      <c r="AW187" s="38">
        <f t="shared" si="41"/>
        <v>0</v>
      </c>
      <c r="AX187" s="38">
        <f t="shared" si="42"/>
        <v>0</v>
      </c>
      <c r="AY187" s="41" t="s">
        <v>604</v>
      </c>
      <c r="AZ187" s="41" t="s">
        <v>614</v>
      </c>
      <c r="BA187" s="37" t="s">
        <v>616</v>
      </c>
      <c r="BC187" s="38">
        <f t="shared" si="43"/>
        <v>0</v>
      </c>
      <c r="BD187" s="38">
        <f t="shared" si="44"/>
        <v>0</v>
      </c>
      <c r="BE187" s="38">
        <v>0</v>
      </c>
      <c r="BF187" s="38">
        <f>187</f>
        <v>187</v>
      </c>
      <c r="BH187" s="21">
        <f t="shared" si="45"/>
        <v>0</v>
      </c>
      <c r="BI187" s="21">
        <f t="shared" si="46"/>
        <v>0</v>
      </c>
      <c r="BJ187" s="21">
        <f t="shared" si="47"/>
        <v>0</v>
      </c>
      <c r="BK187" s="21" t="s">
        <v>621</v>
      </c>
      <c r="BL187" s="38" t="s">
        <v>259</v>
      </c>
    </row>
    <row r="188" spans="1:64" x14ac:dyDescent="0.2">
      <c r="A188" s="6"/>
      <c r="B188" s="15"/>
      <c r="C188" s="166" t="s">
        <v>489</v>
      </c>
      <c r="D188" s="167"/>
      <c r="E188" s="167"/>
      <c r="F188" s="167"/>
      <c r="G188" s="19" t="s">
        <v>6</v>
      </c>
      <c r="H188" s="19" t="s">
        <v>6</v>
      </c>
      <c r="I188" s="27" t="s">
        <v>6</v>
      </c>
      <c r="J188" s="44">
        <f>SUM(J189:J229)</f>
        <v>0</v>
      </c>
      <c r="K188" s="44">
        <f>SUM(K189:K229)</f>
        <v>0</v>
      </c>
      <c r="L188" s="44">
        <f>SUM(L189:L229)</f>
        <v>0</v>
      </c>
      <c r="M188" s="103"/>
      <c r="N188" s="5"/>
      <c r="AI188" s="37"/>
      <c r="AS188" s="44">
        <f>SUM(AJ189:AJ229)</f>
        <v>0</v>
      </c>
      <c r="AT188" s="44">
        <f>SUM(AK189:AK229)</f>
        <v>0</v>
      </c>
      <c r="AU188" s="44">
        <f>SUM(AL189:AL229)</f>
        <v>0</v>
      </c>
    </row>
    <row r="189" spans="1:64" x14ac:dyDescent="0.2">
      <c r="A189" s="85" t="s">
        <v>110</v>
      </c>
      <c r="B189" s="86" t="s">
        <v>272</v>
      </c>
      <c r="C189" s="163" t="s">
        <v>490</v>
      </c>
      <c r="D189" s="157"/>
      <c r="E189" s="157"/>
      <c r="F189" s="157"/>
      <c r="G189" s="86" t="s">
        <v>540</v>
      </c>
      <c r="H189" s="87">
        <v>3</v>
      </c>
      <c r="I189" s="96">
        <v>0</v>
      </c>
      <c r="J189" s="87">
        <f t="shared" ref="J189:J229" si="48">H189*AO189</f>
        <v>0</v>
      </c>
      <c r="K189" s="87">
        <f t="shared" ref="K189:K229" si="49">H189*AP189</f>
        <v>0</v>
      </c>
      <c r="L189" s="87">
        <f t="shared" ref="L189:L229" si="50">H189*I189</f>
        <v>0</v>
      </c>
      <c r="M189" s="104" t="s">
        <v>764</v>
      </c>
      <c r="N189" s="5"/>
      <c r="Z189" s="38">
        <f t="shared" ref="Z189:Z229" si="51">IF(AQ189="5",BJ189,0)</f>
        <v>0</v>
      </c>
      <c r="AB189" s="38">
        <f t="shared" ref="AB189:AB229" si="52">IF(AQ189="1",BH189,0)</f>
        <v>0</v>
      </c>
      <c r="AC189" s="38">
        <f t="shared" ref="AC189:AC229" si="53">IF(AQ189="1",BI189,0)</f>
        <v>0</v>
      </c>
      <c r="AD189" s="38">
        <f t="shared" ref="AD189:AD229" si="54">IF(AQ189="7",BH189,0)</f>
        <v>0</v>
      </c>
      <c r="AE189" s="38">
        <f t="shared" ref="AE189:AE229" si="55">IF(AQ189="7",BI189,0)</f>
        <v>0</v>
      </c>
      <c r="AF189" s="38">
        <f t="shared" ref="AF189:AF229" si="56">IF(AQ189="2",BH189,0)</f>
        <v>0</v>
      </c>
      <c r="AG189" s="38">
        <f t="shared" ref="AG189:AG229" si="57">IF(AQ189="2",BI189,0)</f>
        <v>0</v>
      </c>
      <c r="AH189" s="38">
        <f t="shared" ref="AH189:AH229" si="58">IF(AQ189="0",BJ189,0)</f>
        <v>0</v>
      </c>
      <c r="AI189" s="37"/>
      <c r="AJ189" s="22">
        <f t="shared" ref="AJ189:AJ229" si="59">IF(AN189=0,L189,0)</f>
        <v>0</v>
      </c>
      <c r="AK189" s="22">
        <f t="shared" ref="AK189:AK229" si="60">IF(AN189=12,L189,0)</f>
        <v>0</v>
      </c>
      <c r="AL189" s="22">
        <f t="shared" ref="AL189:AL229" si="61">IF(AN189=21,L189,0)</f>
        <v>0</v>
      </c>
      <c r="AN189" s="38">
        <v>12</v>
      </c>
      <c r="AO189" s="38">
        <f t="shared" ref="AO189:AO229" si="62">I189*1</f>
        <v>0</v>
      </c>
      <c r="AP189" s="38">
        <f t="shared" ref="AP189:AP229" si="63">I189*(1-1)</f>
        <v>0</v>
      </c>
      <c r="AQ189" s="40" t="s">
        <v>153</v>
      </c>
      <c r="AV189" s="38">
        <f t="shared" ref="AV189:AV229" si="64">AW189+AX189</f>
        <v>0</v>
      </c>
      <c r="AW189" s="38">
        <f t="shared" ref="AW189:AW229" si="65">H189*AO189</f>
        <v>0</v>
      </c>
      <c r="AX189" s="38">
        <f t="shared" ref="AX189:AX229" si="66">H189*AP189</f>
        <v>0</v>
      </c>
      <c r="AY189" s="41" t="s">
        <v>605</v>
      </c>
      <c r="AZ189" s="41" t="s">
        <v>615</v>
      </c>
      <c r="BA189" s="37" t="s">
        <v>616</v>
      </c>
      <c r="BC189" s="38">
        <f t="shared" ref="BC189:BC229" si="67">AW189+AX189</f>
        <v>0</v>
      </c>
      <c r="BD189" s="38">
        <f t="shared" ref="BD189:BD229" si="68">I189/(100-BE189)*100</f>
        <v>0</v>
      </c>
      <c r="BE189" s="38">
        <v>0</v>
      </c>
      <c r="BF189" s="38">
        <f>189</f>
        <v>189</v>
      </c>
      <c r="BH189" s="22">
        <f t="shared" ref="BH189:BH229" si="69">H189*AO189</f>
        <v>0</v>
      </c>
      <c r="BI189" s="22">
        <f t="shared" ref="BI189:BI229" si="70">H189*AP189</f>
        <v>0</v>
      </c>
      <c r="BJ189" s="22">
        <f t="shared" ref="BJ189:BJ229" si="71">H189*I189</f>
        <v>0</v>
      </c>
      <c r="BK189" s="22" t="s">
        <v>622</v>
      </c>
      <c r="BL189" s="38"/>
    </row>
    <row r="190" spans="1:64" x14ac:dyDescent="0.2">
      <c r="A190" s="85" t="s">
        <v>111</v>
      </c>
      <c r="B190" s="86" t="s">
        <v>273</v>
      </c>
      <c r="C190" s="163" t="s">
        <v>491</v>
      </c>
      <c r="D190" s="157"/>
      <c r="E190" s="157"/>
      <c r="F190" s="157"/>
      <c r="G190" s="86" t="s">
        <v>540</v>
      </c>
      <c r="H190" s="87">
        <v>2</v>
      </c>
      <c r="I190" s="96">
        <v>0</v>
      </c>
      <c r="J190" s="87">
        <f t="shared" si="48"/>
        <v>0</v>
      </c>
      <c r="K190" s="87">
        <f t="shared" si="49"/>
        <v>0</v>
      </c>
      <c r="L190" s="87">
        <f t="shared" si="50"/>
        <v>0</v>
      </c>
      <c r="M190" s="104" t="s">
        <v>764</v>
      </c>
      <c r="N190" s="5"/>
      <c r="Z190" s="38">
        <f t="shared" si="51"/>
        <v>0</v>
      </c>
      <c r="AB190" s="38">
        <f t="shared" si="52"/>
        <v>0</v>
      </c>
      <c r="AC190" s="38">
        <f t="shared" si="53"/>
        <v>0</v>
      </c>
      <c r="AD190" s="38">
        <f t="shared" si="54"/>
        <v>0</v>
      </c>
      <c r="AE190" s="38">
        <f t="shared" si="55"/>
        <v>0</v>
      </c>
      <c r="AF190" s="38">
        <f t="shared" si="56"/>
        <v>0</v>
      </c>
      <c r="AG190" s="38">
        <f t="shared" si="57"/>
        <v>0</v>
      </c>
      <c r="AH190" s="38">
        <f t="shared" si="58"/>
        <v>0</v>
      </c>
      <c r="AI190" s="37"/>
      <c r="AJ190" s="22">
        <f t="shared" si="59"/>
        <v>0</v>
      </c>
      <c r="AK190" s="22">
        <f t="shared" si="60"/>
        <v>0</v>
      </c>
      <c r="AL190" s="22">
        <f t="shared" si="61"/>
        <v>0</v>
      </c>
      <c r="AN190" s="38">
        <v>12</v>
      </c>
      <c r="AO190" s="38">
        <f t="shared" si="62"/>
        <v>0</v>
      </c>
      <c r="AP190" s="38">
        <f t="shared" si="63"/>
        <v>0</v>
      </c>
      <c r="AQ190" s="40" t="s">
        <v>153</v>
      </c>
      <c r="AV190" s="38">
        <f t="shared" si="64"/>
        <v>0</v>
      </c>
      <c r="AW190" s="38">
        <f t="shared" si="65"/>
        <v>0</v>
      </c>
      <c r="AX190" s="38">
        <f t="shared" si="66"/>
        <v>0</v>
      </c>
      <c r="AY190" s="41" t="s">
        <v>605</v>
      </c>
      <c r="AZ190" s="41" t="s">
        <v>615</v>
      </c>
      <c r="BA190" s="37" t="s">
        <v>616</v>
      </c>
      <c r="BC190" s="38">
        <f t="shared" si="67"/>
        <v>0</v>
      </c>
      <c r="BD190" s="38">
        <f t="shared" si="68"/>
        <v>0</v>
      </c>
      <c r="BE190" s="38">
        <v>0</v>
      </c>
      <c r="BF190" s="38">
        <f>190</f>
        <v>190</v>
      </c>
      <c r="BH190" s="22">
        <f t="shared" si="69"/>
        <v>0</v>
      </c>
      <c r="BI190" s="22">
        <f t="shared" si="70"/>
        <v>0</v>
      </c>
      <c r="BJ190" s="22">
        <f t="shared" si="71"/>
        <v>0</v>
      </c>
      <c r="BK190" s="22" t="s">
        <v>622</v>
      </c>
      <c r="BL190" s="38"/>
    </row>
    <row r="191" spans="1:64" x14ac:dyDescent="0.2">
      <c r="A191" s="85" t="s">
        <v>112</v>
      </c>
      <c r="B191" s="86" t="s">
        <v>273</v>
      </c>
      <c r="C191" s="163" t="s">
        <v>492</v>
      </c>
      <c r="D191" s="157"/>
      <c r="E191" s="157"/>
      <c r="F191" s="157"/>
      <c r="G191" s="86" t="s">
        <v>540</v>
      </c>
      <c r="H191" s="87">
        <v>2</v>
      </c>
      <c r="I191" s="96">
        <v>0</v>
      </c>
      <c r="J191" s="87">
        <f t="shared" si="48"/>
        <v>0</v>
      </c>
      <c r="K191" s="87">
        <f t="shared" si="49"/>
        <v>0</v>
      </c>
      <c r="L191" s="87">
        <f t="shared" si="50"/>
        <v>0</v>
      </c>
      <c r="M191" s="104" t="s">
        <v>764</v>
      </c>
      <c r="N191" s="5"/>
      <c r="Z191" s="38">
        <f t="shared" si="51"/>
        <v>0</v>
      </c>
      <c r="AB191" s="38">
        <f t="shared" si="52"/>
        <v>0</v>
      </c>
      <c r="AC191" s="38">
        <f t="shared" si="53"/>
        <v>0</v>
      </c>
      <c r="AD191" s="38">
        <f t="shared" si="54"/>
        <v>0</v>
      </c>
      <c r="AE191" s="38">
        <f t="shared" si="55"/>
        <v>0</v>
      </c>
      <c r="AF191" s="38">
        <f t="shared" si="56"/>
        <v>0</v>
      </c>
      <c r="AG191" s="38">
        <f t="shared" si="57"/>
        <v>0</v>
      </c>
      <c r="AH191" s="38">
        <f t="shared" si="58"/>
        <v>0</v>
      </c>
      <c r="AI191" s="37"/>
      <c r="AJ191" s="22">
        <f t="shared" si="59"/>
        <v>0</v>
      </c>
      <c r="AK191" s="22">
        <f t="shared" si="60"/>
        <v>0</v>
      </c>
      <c r="AL191" s="22">
        <f t="shared" si="61"/>
        <v>0</v>
      </c>
      <c r="AN191" s="38">
        <v>12</v>
      </c>
      <c r="AO191" s="38">
        <f t="shared" si="62"/>
        <v>0</v>
      </c>
      <c r="AP191" s="38">
        <f t="shared" si="63"/>
        <v>0</v>
      </c>
      <c r="AQ191" s="40" t="s">
        <v>153</v>
      </c>
      <c r="AV191" s="38">
        <f t="shared" si="64"/>
        <v>0</v>
      </c>
      <c r="AW191" s="38">
        <f t="shared" si="65"/>
        <v>0</v>
      </c>
      <c r="AX191" s="38">
        <f t="shared" si="66"/>
        <v>0</v>
      </c>
      <c r="AY191" s="41" t="s">
        <v>605</v>
      </c>
      <c r="AZ191" s="41" t="s">
        <v>615</v>
      </c>
      <c r="BA191" s="37" t="s">
        <v>616</v>
      </c>
      <c r="BC191" s="38">
        <f t="shared" si="67"/>
        <v>0</v>
      </c>
      <c r="BD191" s="38">
        <f t="shared" si="68"/>
        <v>0</v>
      </c>
      <c r="BE191" s="38">
        <v>0</v>
      </c>
      <c r="BF191" s="38">
        <f>191</f>
        <v>191</v>
      </c>
      <c r="BH191" s="22">
        <f t="shared" si="69"/>
        <v>0</v>
      </c>
      <c r="BI191" s="22">
        <f t="shared" si="70"/>
        <v>0</v>
      </c>
      <c r="BJ191" s="22">
        <f t="shared" si="71"/>
        <v>0</v>
      </c>
      <c r="BK191" s="22" t="s">
        <v>622</v>
      </c>
      <c r="BL191" s="38"/>
    </row>
    <row r="192" spans="1:64" x14ac:dyDescent="0.2">
      <c r="A192" s="85" t="s">
        <v>113</v>
      </c>
      <c r="B192" s="86" t="s">
        <v>273</v>
      </c>
      <c r="C192" s="163" t="s">
        <v>493</v>
      </c>
      <c r="D192" s="157"/>
      <c r="E192" s="157"/>
      <c r="F192" s="157"/>
      <c r="G192" s="86" t="s">
        <v>540</v>
      </c>
      <c r="H192" s="87">
        <v>1</v>
      </c>
      <c r="I192" s="96">
        <v>0</v>
      </c>
      <c r="J192" s="87">
        <f t="shared" si="48"/>
        <v>0</v>
      </c>
      <c r="K192" s="87">
        <f t="shared" si="49"/>
        <v>0</v>
      </c>
      <c r="L192" s="87">
        <f t="shared" si="50"/>
        <v>0</v>
      </c>
      <c r="M192" s="104" t="s">
        <v>764</v>
      </c>
      <c r="N192" s="5"/>
      <c r="Z192" s="38">
        <f t="shared" si="51"/>
        <v>0</v>
      </c>
      <c r="AB192" s="38">
        <f t="shared" si="52"/>
        <v>0</v>
      </c>
      <c r="AC192" s="38">
        <f t="shared" si="53"/>
        <v>0</v>
      </c>
      <c r="AD192" s="38">
        <f t="shared" si="54"/>
        <v>0</v>
      </c>
      <c r="AE192" s="38">
        <f t="shared" si="55"/>
        <v>0</v>
      </c>
      <c r="AF192" s="38">
        <f t="shared" si="56"/>
        <v>0</v>
      </c>
      <c r="AG192" s="38">
        <f t="shared" si="57"/>
        <v>0</v>
      </c>
      <c r="AH192" s="38">
        <f t="shared" si="58"/>
        <v>0</v>
      </c>
      <c r="AI192" s="37"/>
      <c r="AJ192" s="22">
        <f t="shared" si="59"/>
        <v>0</v>
      </c>
      <c r="AK192" s="22">
        <f t="shared" si="60"/>
        <v>0</v>
      </c>
      <c r="AL192" s="22">
        <f t="shared" si="61"/>
        <v>0</v>
      </c>
      <c r="AN192" s="38">
        <v>12</v>
      </c>
      <c r="AO192" s="38">
        <f t="shared" si="62"/>
        <v>0</v>
      </c>
      <c r="AP192" s="38">
        <f t="shared" si="63"/>
        <v>0</v>
      </c>
      <c r="AQ192" s="40" t="s">
        <v>153</v>
      </c>
      <c r="AV192" s="38">
        <f t="shared" si="64"/>
        <v>0</v>
      </c>
      <c r="AW192" s="38">
        <f t="shared" si="65"/>
        <v>0</v>
      </c>
      <c r="AX192" s="38">
        <f t="shared" si="66"/>
        <v>0</v>
      </c>
      <c r="AY192" s="41" t="s">
        <v>605</v>
      </c>
      <c r="AZ192" s="41" t="s">
        <v>615</v>
      </c>
      <c r="BA192" s="37" t="s">
        <v>616</v>
      </c>
      <c r="BC192" s="38">
        <f t="shared" si="67"/>
        <v>0</v>
      </c>
      <c r="BD192" s="38">
        <f t="shared" si="68"/>
        <v>0</v>
      </c>
      <c r="BE192" s="38">
        <v>0</v>
      </c>
      <c r="BF192" s="38">
        <f>192</f>
        <v>192</v>
      </c>
      <c r="BH192" s="22">
        <f t="shared" si="69"/>
        <v>0</v>
      </c>
      <c r="BI192" s="22">
        <f t="shared" si="70"/>
        <v>0</v>
      </c>
      <c r="BJ192" s="22">
        <f t="shared" si="71"/>
        <v>0</v>
      </c>
      <c r="BK192" s="22" t="s">
        <v>622</v>
      </c>
      <c r="BL192" s="38"/>
    </row>
    <row r="193" spans="1:64" x14ac:dyDescent="0.2">
      <c r="A193" s="7" t="s">
        <v>114</v>
      </c>
      <c r="B193" s="16" t="s">
        <v>274</v>
      </c>
      <c r="C193" s="156" t="s">
        <v>494</v>
      </c>
      <c r="D193" s="157"/>
      <c r="E193" s="157"/>
      <c r="F193" s="157"/>
      <c r="G193" s="16" t="s">
        <v>540</v>
      </c>
      <c r="H193" s="22">
        <v>1</v>
      </c>
      <c r="I193" s="28">
        <v>0</v>
      </c>
      <c r="J193" s="22">
        <f t="shared" si="48"/>
        <v>0</v>
      </c>
      <c r="K193" s="22">
        <f t="shared" si="49"/>
        <v>0</v>
      </c>
      <c r="L193" s="22">
        <f t="shared" si="50"/>
        <v>0</v>
      </c>
      <c r="M193" s="104" t="s">
        <v>764</v>
      </c>
      <c r="N193" s="5"/>
      <c r="Z193" s="38">
        <f t="shared" si="51"/>
        <v>0</v>
      </c>
      <c r="AB193" s="38">
        <f t="shared" si="52"/>
        <v>0</v>
      </c>
      <c r="AC193" s="38">
        <f t="shared" si="53"/>
        <v>0</v>
      </c>
      <c r="AD193" s="38">
        <f t="shared" si="54"/>
        <v>0</v>
      </c>
      <c r="AE193" s="38">
        <f t="shared" si="55"/>
        <v>0</v>
      </c>
      <c r="AF193" s="38">
        <f t="shared" si="56"/>
        <v>0</v>
      </c>
      <c r="AG193" s="38">
        <f t="shared" si="57"/>
        <v>0</v>
      </c>
      <c r="AH193" s="38">
        <f t="shared" si="58"/>
        <v>0</v>
      </c>
      <c r="AI193" s="37"/>
      <c r="AJ193" s="22">
        <f t="shared" si="59"/>
        <v>0</v>
      </c>
      <c r="AK193" s="22">
        <f t="shared" si="60"/>
        <v>0</v>
      </c>
      <c r="AL193" s="22">
        <f t="shared" si="61"/>
        <v>0</v>
      </c>
      <c r="AN193" s="38">
        <v>12</v>
      </c>
      <c r="AO193" s="38">
        <f t="shared" si="62"/>
        <v>0</v>
      </c>
      <c r="AP193" s="38">
        <f t="shared" si="63"/>
        <v>0</v>
      </c>
      <c r="AQ193" s="40" t="s">
        <v>153</v>
      </c>
      <c r="AV193" s="38">
        <f t="shared" si="64"/>
        <v>0</v>
      </c>
      <c r="AW193" s="38">
        <f t="shared" si="65"/>
        <v>0</v>
      </c>
      <c r="AX193" s="38">
        <f t="shared" si="66"/>
        <v>0</v>
      </c>
      <c r="AY193" s="41" t="s">
        <v>605</v>
      </c>
      <c r="AZ193" s="41" t="s">
        <v>615</v>
      </c>
      <c r="BA193" s="37" t="s">
        <v>616</v>
      </c>
      <c r="BC193" s="38">
        <f t="shared" si="67"/>
        <v>0</v>
      </c>
      <c r="BD193" s="38">
        <f t="shared" si="68"/>
        <v>0</v>
      </c>
      <c r="BE193" s="38">
        <v>0</v>
      </c>
      <c r="BF193" s="38">
        <f>193</f>
        <v>193</v>
      </c>
      <c r="BH193" s="22">
        <f t="shared" si="69"/>
        <v>0</v>
      </c>
      <c r="BI193" s="22">
        <f t="shared" si="70"/>
        <v>0</v>
      </c>
      <c r="BJ193" s="22">
        <f t="shared" si="71"/>
        <v>0</v>
      </c>
      <c r="BK193" s="22" t="s">
        <v>622</v>
      </c>
      <c r="BL193" s="38"/>
    </row>
    <row r="194" spans="1:64" x14ac:dyDescent="0.2">
      <c r="A194" s="7" t="s">
        <v>115</v>
      </c>
      <c r="B194" s="16" t="s">
        <v>275</v>
      </c>
      <c r="C194" s="156" t="s">
        <v>495</v>
      </c>
      <c r="D194" s="157"/>
      <c r="E194" s="157"/>
      <c r="F194" s="157"/>
      <c r="G194" s="16" t="s">
        <v>537</v>
      </c>
      <c r="H194" s="22">
        <v>3</v>
      </c>
      <c r="I194" s="28">
        <v>0</v>
      </c>
      <c r="J194" s="22">
        <f t="shared" si="48"/>
        <v>0</v>
      </c>
      <c r="K194" s="22">
        <f t="shared" si="49"/>
        <v>0</v>
      </c>
      <c r="L194" s="22">
        <f t="shared" si="50"/>
        <v>0</v>
      </c>
      <c r="M194" s="104" t="s">
        <v>764</v>
      </c>
      <c r="N194" s="5"/>
      <c r="Z194" s="38">
        <f t="shared" si="51"/>
        <v>0</v>
      </c>
      <c r="AB194" s="38">
        <f t="shared" si="52"/>
        <v>0</v>
      </c>
      <c r="AC194" s="38">
        <f t="shared" si="53"/>
        <v>0</v>
      </c>
      <c r="AD194" s="38">
        <f t="shared" si="54"/>
        <v>0</v>
      </c>
      <c r="AE194" s="38">
        <f t="shared" si="55"/>
        <v>0</v>
      </c>
      <c r="AF194" s="38">
        <f t="shared" si="56"/>
        <v>0</v>
      </c>
      <c r="AG194" s="38">
        <f t="shared" si="57"/>
        <v>0</v>
      </c>
      <c r="AH194" s="38">
        <f t="shared" si="58"/>
        <v>0</v>
      </c>
      <c r="AI194" s="37"/>
      <c r="AJ194" s="22">
        <f t="shared" si="59"/>
        <v>0</v>
      </c>
      <c r="AK194" s="22">
        <f t="shared" si="60"/>
        <v>0</v>
      </c>
      <c r="AL194" s="22">
        <f t="shared" si="61"/>
        <v>0</v>
      </c>
      <c r="AN194" s="38">
        <v>12</v>
      </c>
      <c r="AO194" s="38">
        <f t="shared" si="62"/>
        <v>0</v>
      </c>
      <c r="AP194" s="38">
        <f t="shared" si="63"/>
        <v>0</v>
      </c>
      <c r="AQ194" s="40" t="s">
        <v>153</v>
      </c>
      <c r="AV194" s="38">
        <f t="shared" si="64"/>
        <v>0</v>
      </c>
      <c r="AW194" s="38">
        <f t="shared" si="65"/>
        <v>0</v>
      </c>
      <c r="AX194" s="38">
        <f t="shared" si="66"/>
        <v>0</v>
      </c>
      <c r="AY194" s="41" t="s">
        <v>605</v>
      </c>
      <c r="AZ194" s="41" t="s">
        <v>615</v>
      </c>
      <c r="BA194" s="37" t="s">
        <v>616</v>
      </c>
      <c r="BC194" s="38">
        <f t="shared" si="67"/>
        <v>0</v>
      </c>
      <c r="BD194" s="38">
        <f t="shared" si="68"/>
        <v>0</v>
      </c>
      <c r="BE194" s="38">
        <v>0</v>
      </c>
      <c r="BF194" s="38">
        <f>194</f>
        <v>194</v>
      </c>
      <c r="BH194" s="22">
        <f t="shared" si="69"/>
        <v>0</v>
      </c>
      <c r="BI194" s="22">
        <f t="shared" si="70"/>
        <v>0</v>
      </c>
      <c r="BJ194" s="22">
        <f t="shared" si="71"/>
        <v>0</v>
      </c>
      <c r="BK194" s="22" t="s">
        <v>622</v>
      </c>
      <c r="BL194" s="38"/>
    </row>
    <row r="195" spans="1:64" x14ac:dyDescent="0.2">
      <c r="A195" s="7" t="s">
        <v>116</v>
      </c>
      <c r="B195" s="16" t="s">
        <v>276</v>
      </c>
      <c r="C195" s="156" t="s">
        <v>496</v>
      </c>
      <c r="D195" s="157"/>
      <c r="E195" s="157"/>
      <c r="F195" s="157"/>
      <c r="G195" s="16" t="s">
        <v>540</v>
      </c>
      <c r="H195" s="22">
        <v>9</v>
      </c>
      <c r="I195" s="28">
        <v>0</v>
      </c>
      <c r="J195" s="22">
        <f t="shared" si="48"/>
        <v>0</v>
      </c>
      <c r="K195" s="22">
        <f t="shared" si="49"/>
        <v>0</v>
      </c>
      <c r="L195" s="22">
        <f t="shared" si="50"/>
        <v>0</v>
      </c>
      <c r="M195" s="102" t="s">
        <v>763</v>
      </c>
      <c r="N195" s="5"/>
      <c r="Z195" s="38">
        <f t="shared" si="51"/>
        <v>0</v>
      </c>
      <c r="AB195" s="38">
        <f t="shared" si="52"/>
        <v>0</v>
      </c>
      <c r="AC195" s="38">
        <f t="shared" si="53"/>
        <v>0</v>
      </c>
      <c r="AD195" s="38">
        <f t="shared" si="54"/>
        <v>0</v>
      </c>
      <c r="AE195" s="38">
        <f t="shared" si="55"/>
        <v>0</v>
      </c>
      <c r="AF195" s="38">
        <f t="shared" si="56"/>
        <v>0</v>
      </c>
      <c r="AG195" s="38">
        <f t="shared" si="57"/>
        <v>0</v>
      </c>
      <c r="AH195" s="38">
        <f t="shared" si="58"/>
        <v>0</v>
      </c>
      <c r="AI195" s="37"/>
      <c r="AJ195" s="22">
        <f t="shared" si="59"/>
        <v>0</v>
      </c>
      <c r="AK195" s="22">
        <f t="shared" si="60"/>
        <v>0</v>
      </c>
      <c r="AL195" s="22">
        <f t="shared" si="61"/>
        <v>0</v>
      </c>
      <c r="AN195" s="38">
        <v>12</v>
      </c>
      <c r="AO195" s="38">
        <f t="shared" si="62"/>
        <v>0</v>
      </c>
      <c r="AP195" s="38">
        <f t="shared" si="63"/>
        <v>0</v>
      </c>
      <c r="AQ195" s="40" t="s">
        <v>153</v>
      </c>
      <c r="AV195" s="38">
        <f t="shared" si="64"/>
        <v>0</v>
      </c>
      <c r="AW195" s="38">
        <f t="shared" si="65"/>
        <v>0</v>
      </c>
      <c r="AX195" s="38">
        <f t="shared" si="66"/>
        <v>0</v>
      </c>
      <c r="AY195" s="41" t="s">
        <v>605</v>
      </c>
      <c r="AZ195" s="41" t="s">
        <v>615</v>
      </c>
      <c r="BA195" s="37" t="s">
        <v>616</v>
      </c>
      <c r="BC195" s="38">
        <f t="shared" si="67"/>
        <v>0</v>
      </c>
      <c r="BD195" s="38">
        <f t="shared" si="68"/>
        <v>0</v>
      </c>
      <c r="BE195" s="38">
        <v>0</v>
      </c>
      <c r="BF195" s="38">
        <f>195</f>
        <v>195</v>
      </c>
      <c r="BH195" s="22">
        <f t="shared" si="69"/>
        <v>0</v>
      </c>
      <c r="BI195" s="22">
        <f t="shared" si="70"/>
        <v>0</v>
      </c>
      <c r="BJ195" s="22">
        <f t="shared" si="71"/>
        <v>0</v>
      </c>
      <c r="BK195" s="22" t="s">
        <v>622</v>
      </c>
      <c r="BL195" s="38"/>
    </row>
    <row r="196" spans="1:64" x14ac:dyDescent="0.2">
      <c r="A196" s="7" t="s">
        <v>117</v>
      </c>
      <c r="B196" s="16" t="s">
        <v>277</v>
      </c>
      <c r="C196" s="156" t="s">
        <v>497</v>
      </c>
      <c r="D196" s="157"/>
      <c r="E196" s="157"/>
      <c r="F196" s="157"/>
      <c r="G196" s="16" t="s">
        <v>540</v>
      </c>
      <c r="H196" s="22">
        <v>9</v>
      </c>
      <c r="I196" s="28">
        <v>0</v>
      </c>
      <c r="J196" s="22">
        <f t="shared" si="48"/>
        <v>0</v>
      </c>
      <c r="K196" s="22">
        <f t="shared" si="49"/>
        <v>0</v>
      </c>
      <c r="L196" s="22">
        <f t="shared" si="50"/>
        <v>0</v>
      </c>
      <c r="M196" s="102" t="s">
        <v>763</v>
      </c>
      <c r="N196" s="5"/>
      <c r="Z196" s="38">
        <f t="shared" si="51"/>
        <v>0</v>
      </c>
      <c r="AB196" s="38">
        <f t="shared" si="52"/>
        <v>0</v>
      </c>
      <c r="AC196" s="38">
        <f t="shared" si="53"/>
        <v>0</v>
      </c>
      <c r="AD196" s="38">
        <f t="shared" si="54"/>
        <v>0</v>
      </c>
      <c r="AE196" s="38">
        <f t="shared" si="55"/>
        <v>0</v>
      </c>
      <c r="AF196" s="38">
        <f t="shared" si="56"/>
        <v>0</v>
      </c>
      <c r="AG196" s="38">
        <f t="shared" si="57"/>
        <v>0</v>
      </c>
      <c r="AH196" s="38">
        <f t="shared" si="58"/>
        <v>0</v>
      </c>
      <c r="AI196" s="37"/>
      <c r="AJ196" s="22">
        <f t="shared" si="59"/>
        <v>0</v>
      </c>
      <c r="AK196" s="22">
        <f t="shared" si="60"/>
        <v>0</v>
      </c>
      <c r="AL196" s="22">
        <f t="shared" si="61"/>
        <v>0</v>
      </c>
      <c r="AN196" s="38">
        <v>12</v>
      </c>
      <c r="AO196" s="38">
        <f t="shared" si="62"/>
        <v>0</v>
      </c>
      <c r="AP196" s="38">
        <f t="shared" si="63"/>
        <v>0</v>
      </c>
      <c r="AQ196" s="40" t="s">
        <v>153</v>
      </c>
      <c r="AV196" s="38">
        <f t="shared" si="64"/>
        <v>0</v>
      </c>
      <c r="AW196" s="38">
        <f t="shared" si="65"/>
        <v>0</v>
      </c>
      <c r="AX196" s="38">
        <f t="shared" si="66"/>
        <v>0</v>
      </c>
      <c r="AY196" s="41" t="s">
        <v>605</v>
      </c>
      <c r="AZ196" s="41" t="s">
        <v>615</v>
      </c>
      <c r="BA196" s="37" t="s">
        <v>616</v>
      </c>
      <c r="BC196" s="38">
        <f t="shared" si="67"/>
        <v>0</v>
      </c>
      <c r="BD196" s="38">
        <f t="shared" si="68"/>
        <v>0</v>
      </c>
      <c r="BE196" s="38">
        <v>0</v>
      </c>
      <c r="BF196" s="38">
        <f>196</f>
        <v>196</v>
      </c>
      <c r="BH196" s="22">
        <f t="shared" si="69"/>
        <v>0</v>
      </c>
      <c r="BI196" s="22">
        <f t="shared" si="70"/>
        <v>0</v>
      </c>
      <c r="BJ196" s="22">
        <f t="shared" si="71"/>
        <v>0</v>
      </c>
      <c r="BK196" s="22" t="s">
        <v>622</v>
      </c>
      <c r="BL196" s="38"/>
    </row>
    <row r="197" spans="1:64" x14ac:dyDescent="0.2">
      <c r="A197" s="7" t="s">
        <v>118</v>
      </c>
      <c r="B197" s="16" t="s">
        <v>278</v>
      </c>
      <c r="C197" s="156" t="s">
        <v>498</v>
      </c>
      <c r="D197" s="157"/>
      <c r="E197" s="157"/>
      <c r="F197" s="157"/>
      <c r="G197" s="16" t="s">
        <v>537</v>
      </c>
      <c r="H197" s="22">
        <v>214.9</v>
      </c>
      <c r="I197" s="28">
        <v>0</v>
      </c>
      <c r="J197" s="22">
        <f t="shared" si="48"/>
        <v>0</v>
      </c>
      <c r="K197" s="22">
        <f t="shared" si="49"/>
        <v>0</v>
      </c>
      <c r="L197" s="22">
        <f t="shared" si="50"/>
        <v>0</v>
      </c>
      <c r="M197" s="102" t="s">
        <v>763</v>
      </c>
      <c r="N197" s="5"/>
      <c r="Z197" s="38">
        <f t="shared" si="51"/>
        <v>0</v>
      </c>
      <c r="AB197" s="38">
        <f t="shared" si="52"/>
        <v>0</v>
      </c>
      <c r="AC197" s="38">
        <f t="shared" si="53"/>
        <v>0</v>
      </c>
      <c r="AD197" s="38">
        <f t="shared" si="54"/>
        <v>0</v>
      </c>
      <c r="AE197" s="38">
        <f t="shared" si="55"/>
        <v>0</v>
      </c>
      <c r="AF197" s="38">
        <f t="shared" si="56"/>
        <v>0</v>
      </c>
      <c r="AG197" s="38">
        <f t="shared" si="57"/>
        <v>0</v>
      </c>
      <c r="AH197" s="38">
        <f t="shared" si="58"/>
        <v>0</v>
      </c>
      <c r="AI197" s="37"/>
      <c r="AJ197" s="22">
        <f t="shared" si="59"/>
        <v>0</v>
      </c>
      <c r="AK197" s="22">
        <f t="shared" si="60"/>
        <v>0</v>
      </c>
      <c r="AL197" s="22">
        <f t="shared" si="61"/>
        <v>0</v>
      </c>
      <c r="AN197" s="38">
        <v>12</v>
      </c>
      <c r="AO197" s="38">
        <f t="shared" si="62"/>
        <v>0</v>
      </c>
      <c r="AP197" s="38">
        <f t="shared" si="63"/>
        <v>0</v>
      </c>
      <c r="AQ197" s="40" t="s">
        <v>153</v>
      </c>
      <c r="AV197" s="38">
        <f t="shared" si="64"/>
        <v>0</v>
      </c>
      <c r="AW197" s="38">
        <f t="shared" si="65"/>
        <v>0</v>
      </c>
      <c r="AX197" s="38">
        <f t="shared" si="66"/>
        <v>0</v>
      </c>
      <c r="AY197" s="41" t="s">
        <v>605</v>
      </c>
      <c r="AZ197" s="41" t="s">
        <v>615</v>
      </c>
      <c r="BA197" s="37" t="s">
        <v>616</v>
      </c>
      <c r="BC197" s="38">
        <f t="shared" si="67"/>
        <v>0</v>
      </c>
      <c r="BD197" s="38">
        <f t="shared" si="68"/>
        <v>0</v>
      </c>
      <c r="BE197" s="38">
        <v>0</v>
      </c>
      <c r="BF197" s="38">
        <f>197</f>
        <v>197</v>
      </c>
      <c r="BH197" s="22">
        <f t="shared" si="69"/>
        <v>0</v>
      </c>
      <c r="BI197" s="22">
        <f t="shared" si="70"/>
        <v>0</v>
      </c>
      <c r="BJ197" s="22">
        <f t="shared" si="71"/>
        <v>0</v>
      </c>
      <c r="BK197" s="22" t="s">
        <v>622</v>
      </c>
      <c r="BL197" s="38"/>
    </row>
    <row r="198" spans="1:64" s="114" customFormat="1" x14ac:dyDescent="0.2">
      <c r="A198" s="108" t="s">
        <v>119</v>
      </c>
      <c r="B198" s="109" t="s">
        <v>279</v>
      </c>
      <c r="C198" s="161" t="s">
        <v>765</v>
      </c>
      <c r="D198" s="162"/>
      <c r="E198" s="162"/>
      <c r="F198" s="162"/>
      <c r="G198" s="109" t="s">
        <v>540</v>
      </c>
      <c r="H198" s="110">
        <v>1</v>
      </c>
      <c r="I198" s="111">
        <v>0</v>
      </c>
      <c r="J198" s="110">
        <f t="shared" si="48"/>
        <v>0</v>
      </c>
      <c r="K198" s="110">
        <f t="shared" si="49"/>
        <v>0</v>
      </c>
      <c r="L198" s="110">
        <f t="shared" si="50"/>
        <v>0</v>
      </c>
      <c r="M198" s="112" t="s">
        <v>764</v>
      </c>
      <c r="N198" s="113"/>
      <c r="Z198" s="110">
        <f t="shared" si="51"/>
        <v>0</v>
      </c>
      <c r="AB198" s="110">
        <f t="shared" si="52"/>
        <v>0</v>
      </c>
      <c r="AC198" s="110">
        <f t="shared" si="53"/>
        <v>0</v>
      </c>
      <c r="AD198" s="110">
        <f t="shared" si="54"/>
        <v>0</v>
      </c>
      <c r="AE198" s="110">
        <f t="shared" si="55"/>
        <v>0</v>
      </c>
      <c r="AF198" s="110">
        <f t="shared" si="56"/>
        <v>0</v>
      </c>
      <c r="AG198" s="110">
        <f t="shared" si="57"/>
        <v>0</v>
      </c>
      <c r="AH198" s="110">
        <f t="shared" si="58"/>
        <v>0</v>
      </c>
      <c r="AI198" s="115"/>
      <c r="AJ198" s="110">
        <f t="shared" si="59"/>
        <v>0</v>
      </c>
      <c r="AK198" s="110">
        <f t="shared" si="60"/>
        <v>0</v>
      </c>
      <c r="AL198" s="110">
        <f t="shared" si="61"/>
        <v>0</v>
      </c>
      <c r="AN198" s="110">
        <v>12</v>
      </c>
      <c r="AO198" s="110">
        <f t="shared" si="62"/>
        <v>0</v>
      </c>
      <c r="AP198" s="110">
        <f t="shared" si="63"/>
        <v>0</v>
      </c>
      <c r="AQ198" s="116" t="s">
        <v>153</v>
      </c>
      <c r="AV198" s="110">
        <f t="shared" si="64"/>
        <v>0</v>
      </c>
      <c r="AW198" s="110">
        <f t="shared" si="65"/>
        <v>0</v>
      </c>
      <c r="AX198" s="110">
        <f t="shared" si="66"/>
        <v>0</v>
      </c>
      <c r="AY198" s="116" t="s">
        <v>605</v>
      </c>
      <c r="AZ198" s="116" t="s">
        <v>615</v>
      </c>
      <c r="BA198" s="115" t="s">
        <v>616</v>
      </c>
      <c r="BC198" s="110">
        <f t="shared" si="67"/>
        <v>0</v>
      </c>
      <c r="BD198" s="110">
        <f t="shared" si="68"/>
        <v>0</v>
      </c>
      <c r="BE198" s="110">
        <v>0</v>
      </c>
      <c r="BF198" s="110">
        <f>198</f>
        <v>198</v>
      </c>
      <c r="BH198" s="110">
        <f t="shared" si="69"/>
        <v>0</v>
      </c>
      <c r="BI198" s="110">
        <f t="shared" si="70"/>
        <v>0</v>
      </c>
      <c r="BJ198" s="110">
        <f t="shared" si="71"/>
        <v>0</v>
      </c>
      <c r="BK198" s="110" t="s">
        <v>622</v>
      </c>
      <c r="BL198" s="110"/>
    </row>
    <row r="199" spans="1:64" s="114" customFormat="1" x14ac:dyDescent="0.2">
      <c r="A199" s="108" t="s">
        <v>120</v>
      </c>
      <c r="B199" s="109" t="s">
        <v>280</v>
      </c>
      <c r="C199" s="161" t="s">
        <v>766</v>
      </c>
      <c r="D199" s="162"/>
      <c r="E199" s="162"/>
      <c r="F199" s="162"/>
      <c r="G199" s="109" t="s">
        <v>540</v>
      </c>
      <c r="H199" s="110">
        <v>1</v>
      </c>
      <c r="I199" s="111">
        <v>0</v>
      </c>
      <c r="J199" s="110">
        <f t="shared" si="48"/>
        <v>0</v>
      </c>
      <c r="K199" s="110">
        <f t="shared" si="49"/>
        <v>0</v>
      </c>
      <c r="L199" s="110">
        <f t="shared" si="50"/>
        <v>0</v>
      </c>
      <c r="M199" s="112" t="s">
        <v>764</v>
      </c>
      <c r="N199" s="113"/>
      <c r="Z199" s="110">
        <f t="shared" si="51"/>
        <v>0</v>
      </c>
      <c r="AB199" s="110">
        <f t="shared" si="52"/>
        <v>0</v>
      </c>
      <c r="AC199" s="110">
        <f t="shared" si="53"/>
        <v>0</v>
      </c>
      <c r="AD199" s="110">
        <f t="shared" si="54"/>
        <v>0</v>
      </c>
      <c r="AE199" s="110">
        <f t="shared" si="55"/>
        <v>0</v>
      </c>
      <c r="AF199" s="110">
        <f t="shared" si="56"/>
        <v>0</v>
      </c>
      <c r="AG199" s="110">
        <f t="shared" si="57"/>
        <v>0</v>
      </c>
      <c r="AH199" s="110">
        <f t="shared" si="58"/>
        <v>0</v>
      </c>
      <c r="AI199" s="115"/>
      <c r="AJ199" s="110">
        <f t="shared" si="59"/>
        <v>0</v>
      </c>
      <c r="AK199" s="110">
        <f t="shared" si="60"/>
        <v>0</v>
      </c>
      <c r="AL199" s="110">
        <f t="shared" si="61"/>
        <v>0</v>
      </c>
      <c r="AN199" s="110">
        <v>12</v>
      </c>
      <c r="AO199" s="110">
        <f t="shared" si="62"/>
        <v>0</v>
      </c>
      <c r="AP199" s="110">
        <f t="shared" si="63"/>
        <v>0</v>
      </c>
      <c r="AQ199" s="116" t="s">
        <v>153</v>
      </c>
      <c r="AV199" s="110">
        <f t="shared" si="64"/>
        <v>0</v>
      </c>
      <c r="AW199" s="110">
        <f t="shared" si="65"/>
        <v>0</v>
      </c>
      <c r="AX199" s="110">
        <f t="shared" si="66"/>
        <v>0</v>
      </c>
      <c r="AY199" s="116" t="s">
        <v>605</v>
      </c>
      <c r="AZ199" s="116" t="s">
        <v>615</v>
      </c>
      <c r="BA199" s="115" t="s">
        <v>616</v>
      </c>
      <c r="BC199" s="110">
        <f t="shared" si="67"/>
        <v>0</v>
      </c>
      <c r="BD199" s="110">
        <f t="shared" si="68"/>
        <v>0</v>
      </c>
      <c r="BE199" s="110">
        <v>0</v>
      </c>
      <c r="BF199" s="110">
        <f>199</f>
        <v>199</v>
      </c>
      <c r="BH199" s="110">
        <f t="shared" si="69"/>
        <v>0</v>
      </c>
      <c r="BI199" s="110">
        <f t="shared" si="70"/>
        <v>0</v>
      </c>
      <c r="BJ199" s="110">
        <f t="shared" si="71"/>
        <v>0</v>
      </c>
      <c r="BK199" s="110" t="s">
        <v>622</v>
      </c>
      <c r="BL199" s="110"/>
    </row>
    <row r="200" spans="1:64" x14ac:dyDescent="0.2">
      <c r="A200" s="7" t="s">
        <v>121</v>
      </c>
      <c r="B200" s="16" t="s">
        <v>281</v>
      </c>
      <c r="C200" s="156" t="s">
        <v>501</v>
      </c>
      <c r="D200" s="157"/>
      <c r="E200" s="157"/>
      <c r="F200" s="157"/>
      <c r="G200" s="16" t="s">
        <v>537</v>
      </c>
      <c r="H200" s="22">
        <v>3.5</v>
      </c>
      <c r="I200" s="28">
        <v>0</v>
      </c>
      <c r="J200" s="22">
        <f t="shared" si="48"/>
        <v>0</v>
      </c>
      <c r="K200" s="22">
        <f t="shared" si="49"/>
        <v>0</v>
      </c>
      <c r="L200" s="22">
        <f t="shared" si="50"/>
        <v>0</v>
      </c>
      <c r="M200" s="102" t="s">
        <v>763</v>
      </c>
      <c r="N200" s="5"/>
      <c r="Z200" s="38">
        <f t="shared" si="51"/>
        <v>0</v>
      </c>
      <c r="AB200" s="38">
        <f t="shared" si="52"/>
        <v>0</v>
      </c>
      <c r="AC200" s="38">
        <f t="shared" si="53"/>
        <v>0</v>
      </c>
      <c r="AD200" s="38">
        <f t="shared" si="54"/>
        <v>0</v>
      </c>
      <c r="AE200" s="38">
        <f t="shared" si="55"/>
        <v>0</v>
      </c>
      <c r="AF200" s="38">
        <f t="shared" si="56"/>
        <v>0</v>
      </c>
      <c r="AG200" s="38">
        <f t="shared" si="57"/>
        <v>0</v>
      </c>
      <c r="AH200" s="38">
        <f t="shared" si="58"/>
        <v>0</v>
      </c>
      <c r="AI200" s="37"/>
      <c r="AJ200" s="22">
        <f t="shared" si="59"/>
        <v>0</v>
      </c>
      <c r="AK200" s="22">
        <f t="shared" si="60"/>
        <v>0</v>
      </c>
      <c r="AL200" s="22">
        <f t="shared" si="61"/>
        <v>0</v>
      </c>
      <c r="AN200" s="38">
        <v>12</v>
      </c>
      <c r="AO200" s="38">
        <f t="shared" si="62"/>
        <v>0</v>
      </c>
      <c r="AP200" s="38">
        <f t="shared" si="63"/>
        <v>0</v>
      </c>
      <c r="AQ200" s="40" t="s">
        <v>153</v>
      </c>
      <c r="AV200" s="38">
        <f t="shared" si="64"/>
        <v>0</v>
      </c>
      <c r="AW200" s="38">
        <f t="shared" si="65"/>
        <v>0</v>
      </c>
      <c r="AX200" s="38">
        <f t="shared" si="66"/>
        <v>0</v>
      </c>
      <c r="AY200" s="41" t="s">
        <v>605</v>
      </c>
      <c r="AZ200" s="41" t="s">
        <v>615</v>
      </c>
      <c r="BA200" s="37" t="s">
        <v>616</v>
      </c>
      <c r="BC200" s="38">
        <f t="shared" si="67"/>
        <v>0</v>
      </c>
      <c r="BD200" s="38">
        <f t="shared" si="68"/>
        <v>0</v>
      </c>
      <c r="BE200" s="38">
        <v>0</v>
      </c>
      <c r="BF200" s="38">
        <f>200</f>
        <v>200</v>
      </c>
      <c r="BH200" s="22">
        <f t="shared" si="69"/>
        <v>0</v>
      </c>
      <c r="BI200" s="22">
        <f t="shared" si="70"/>
        <v>0</v>
      </c>
      <c r="BJ200" s="22">
        <f t="shared" si="71"/>
        <v>0</v>
      </c>
      <c r="BK200" s="22" t="s">
        <v>622</v>
      </c>
      <c r="BL200" s="38"/>
    </row>
    <row r="201" spans="1:64" x14ac:dyDescent="0.2">
      <c r="A201" s="7" t="s">
        <v>122</v>
      </c>
      <c r="B201" s="16" t="s">
        <v>282</v>
      </c>
      <c r="C201" s="156" t="s">
        <v>502</v>
      </c>
      <c r="D201" s="157"/>
      <c r="E201" s="157"/>
      <c r="F201" s="157"/>
      <c r="G201" s="16" t="s">
        <v>540</v>
      </c>
      <c r="H201" s="22">
        <v>4</v>
      </c>
      <c r="I201" s="28">
        <v>0</v>
      </c>
      <c r="J201" s="22">
        <f t="shared" si="48"/>
        <v>0</v>
      </c>
      <c r="K201" s="22">
        <f t="shared" si="49"/>
        <v>0</v>
      </c>
      <c r="L201" s="22">
        <f t="shared" si="50"/>
        <v>0</v>
      </c>
      <c r="M201" s="102" t="s">
        <v>763</v>
      </c>
      <c r="N201" s="5"/>
      <c r="Z201" s="38">
        <f t="shared" si="51"/>
        <v>0</v>
      </c>
      <c r="AB201" s="38">
        <f t="shared" si="52"/>
        <v>0</v>
      </c>
      <c r="AC201" s="38">
        <f t="shared" si="53"/>
        <v>0</v>
      </c>
      <c r="AD201" s="38">
        <f t="shared" si="54"/>
        <v>0</v>
      </c>
      <c r="AE201" s="38">
        <f t="shared" si="55"/>
        <v>0</v>
      </c>
      <c r="AF201" s="38">
        <f t="shared" si="56"/>
        <v>0</v>
      </c>
      <c r="AG201" s="38">
        <f t="shared" si="57"/>
        <v>0</v>
      </c>
      <c r="AH201" s="38">
        <f t="shared" si="58"/>
        <v>0</v>
      </c>
      <c r="AI201" s="37"/>
      <c r="AJ201" s="22">
        <f t="shared" si="59"/>
        <v>0</v>
      </c>
      <c r="AK201" s="22">
        <f t="shared" si="60"/>
        <v>0</v>
      </c>
      <c r="AL201" s="22">
        <f t="shared" si="61"/>
        <v>0</v>
      </c>
      <c r="AN201" s="38">
        <v>12</v>
      </c>
      <c r="AO201" s="38">
        <f t="shared" si="62"/>
        <v>0</v>
      </c>
      <c r="AP201" s="38">
        <f t="shared" si="63"/>
        <v>0</v>
      </c>
      <c r="AQ201" s="40" t="s">
        <v>153</v>
      </c>
      <c r="AV201" s="38">
        <f t="shared" si="64"/>
        <v>0</v>
      </c>
      <c r="AW201" s="38">
        <f t="shared" si="65"/>
        <v>0</v>
      </c>
      <c r="AX201" s="38">
        <f t="shared" si="66"/>
        <v>0</v>
      </c>
      <c r="AY201" s="41" t="s">
        <v>605</v>
      </c>
      <c r="AZ201" s="41" t="s">
        <v>615</v>
      </c>
      <c r="BA201" s="37" t="s">
        <v>616</v>
      </c>
      <c r="BC201" s="38">
        <f t="shared" si="67"/>
        <v>0</v>
      </c>
      <c r="BD201" s="38">
        <f t="shared" si="68"/>
        <v>0</v>
      </c>
      <c r="BE201" s="38">
        <v>0</v>
      </c>
      <c r="BF201" s="38">
        <f>201</f>
        <v>201</v>
      </c>
      <c r="BH201" s="22">
        <f t="shared" si="69"/>
        <v>0</v>
      </c>
      <c r="BI201" s="22">
        <f t="shared" si="70"/>
        <v>0</v>
      </c>
      <c r="BJ201" s="22">
        <f t="shared" si="71"/>
        <v>0</v>
      </c>
      <c r="BK201" s="22" t="s">
        <v>622</v>
      </c>
      <c r="BL201" s="38"/>
    </row>
    <row r="202" spans="1:64" x14ac:dyDescent="0.2">
      <c r="A202" s="7" t="s">
        <v>123</v>
      </c>
      <c r="B202" s="16" t="s">
        <v>283</v>
      </c>
      <c r="C202" s="156" t="s">
        <v>503</v>
      </c>
      <c r="D202" s="157"/>
      <c r="E202" s="157"/>
      <c r="F202" s="157"/>
      <c r="G202" s="16" t="s">
        <v>537</v>
      </c>
      <c r="H202" s="22">
        <v>3.5</v>
      </c>
      <c r="I202" s="28">
        <v>0</v>
      </c>
      <c r="J202" s="22">
        <f t="shared" si="48"/>
        <v>0</v>
      </c>
      <c r="K202" s="22">
        <f t="shared" si="49"/>
        <v>0</v>
      </c>
      <c r="L202" s="22">
        <f t="shared" si="50"/>
        <v>0</v>
      </c>
      <c r="M202" s="102" t="s">
        <v>763</v>
      </c>
      <c r="N202" s="5"/>
      <c r="Z202" s="38">
        <f t="shared" si="51"/>
        <v>0</v>
      </c>
      <c r="AB202" s="38">
        <f t="shared" si="52"/>
        <v>0</v>
      </c>
      <c r="AC202" s="38">
        <f t="shared" si="53"/>
        <v>0</v>
      </c>
      <c r="AD202" s="38">
        <f t="shared" si="54"/>
        <v>0</v>
      </c>
      <c r="AE202" s="38">
        <f t="shared" si="55"/>
        <v>0</v>
      </c>
      <c r="AF202" s="38">
        <f t="shared" si="56"/>
        <v>0</v>
      </c>
      <c r="AG202" s="38">
        <f t="shared" si="57"/>
        <v>0</v>
      </c>
      <c r="AH202" s="38">
        <f t="shared" si="58"/>
        <v>0</v>
      </c>
      <c r="AI202" s="37"/>
      <c r="AJ202" s="22">
        <f t="shared" si="59"/>
        <v>0</v>
      </c>
      <c r="AK202" s="22">
        <f t="shared" si="60"/>
        <v>0</v>
      </c>
      <c r="AL202" s="22">
        <f t="shared" si="61"/>
        <v>0</v>
      </c>
      <c r="AN202" s="38">
        <v>12</v>
      </c>
      <c r="AO202" s="38">
        <f t="shared" si="62"/>
        <v>0</v>
      </c>
      <c r="AP202" s="38">
        <f t="shared" si="63"/>
        <v>0</v>
      </c>
      <c r="AQ202" s="40" t="s">
        <v>153</v>
      </c>
      <c r="AV202" s="38">
        <f t="shared" si="64"/>
        <v>0</v>
      </c>
      <c r="AW202" s="38">
        <f t="shared" si="65"/>
        <v>0</v>
      </c>
      <c r="AX202" s="38">
        <f t="shared" si="66"/>
        <v>0</v>
      </c>
      <c r="AY202" s="41" t="s">
        <v>605</v>
      </c>
      <c r="AZ202" s="41" t="s">
        <v>615</v>
      </c>
      <c r="BA202" s="37" t="s">
        <v>616</v>
      </c>
      <c r="BC202" s="38">
        <f t="shared" si="67"/>
        <v>0</v>
      </c>
      <c r="BD202" s="38">
        <f t="shared" si="68"/>
        <v>0</v>
      </c>
      <c r="BE202" s="38">
        <v>0</v>
      </c>
      <c r="BF202" s="38">
        <f>202</f>
        <v>202</v>
      </c>
      <c r="BH202" s="22">
        <f t="shared" si="69"/>
        <v>0</v>
      </c>
      <c r="BI202" s="22">
        <f t="shared" si="70"/>
        <v>0</v>
      </c>
      <c r="BJ202" s="22">
        <f t="shared" si="71"/>
        <v>0</v>
      </c>
      <c r="BK202" s="22" t="s">
        <v>622</v>
      </c>
      <c r="BL202" s="38"/>
    </row>
    <row r="203" spans="1:64" x14ac:dyDescent="0.2">
      <c r="A203" s="7" t="s">
        <v>124</v>
      </c>
      <c r="B203" s="16" t="s">
        <v>284</v>
      </c>
      <c r="C203" s="156" t="s">
        <v>504</v>
      </c>
      <c r="D203" s="157"/>
      <c r="E203" s="157"/>
      <c r="F203" s="157"/>
      <c r="G203" s="16" t="s">
        <v>540</v>
      </c>
      <c r="H203" s="22">
        <v>4</v>
      </c>
      <c r="I203" s="28">
        <v>0</v>
      </c>
      <c r="J203" s="22">
        <f t="shared" si="48"/>
        <v>0</v>
      </c>
      <c r="K203" s="22">
        <f t="shared" si="49"/>
        <v>0</v>
      </c>
      <c r="L203" s="22">
        <f t="shared" si="50"/>
        <v>0</v>
      </c>
      <c r="M203" s="102" t="s">
        <v>763</v>
      </c>
      <c r="N203" s="5"/>
      <c r="Z203" s="38">
        <f t="shared" si="51"/>
        <v>0</v>
      </c>
      <c r="AB203" s="38">
        <f t="shared" si="52"/>
        <v>0</v>
      </c>
      <c r="AC203" s="38">
        <f t="shared" si="53"/>
        <v>0</v>
      </c>
      <c r="AD203" s="38">
        <f t="shared" si="54"/>
        <v>0</v>
      </c>
      <c r="AE203" s="38">
        <f t="shared" si="55"/>
        <v>0</v>
      </c>
      <c r="AF203" s="38">
        <f t="shared" si="56"/>
        <v>0</v>
      </c>
      <c r="AG203" s="38">
        <f t="shared" si="57"/>
        <v>0</v>
      </c>
      <c r="AH203" s="38">
        <f t="shared" si="58"/>
        <v>0</v>
      </c>
      <c r="AI203" s="37"/>
      <c r="AJ203" s="22">
        <f t="shared" si="59"/>
        <v>0</v>
      </c>
      <c r="AK203" s="22">
        <f t="shared" si="60"/>
        <v>0</v>
      </c>
      <c r="AL203" s="22">
        <f t="shared" si="61"/>
        <v>0</v>
      </c>
      <c r="AN203" s="38">
        <v>12</v>
      </c>
      <c r="AO203" s="38">
        <f t="shared" si="62"/>
        <v>0</v>
      </c>
      <c r="AP203" s="38">
        <f t="shared" si="63"/>
        <v>0</v>
      </c>
      <c r="AQ203" s="40" t="s">
        <v>153</v>
      </c>
      <c r="AV203" s="38">
        <f t="shared" si="64"/>
        <v>0</v>
      </c>
      <c r="AW203" s="38">
        <f t="shared" si="65"/>
        <v>0</v>
      </c>
      <c r="AX203" s="38">
        <f t="shared" si="66"/>
        <v>0</v>
      </c>
      <c r="AY203" s="41" t="s">
        <v>605</v>
      </c>
      <c r="AZ203" s="41" t="s">
        <v>615</v>
      </c>
      <c r="BA203" s="37" t="s">
        <v>616</v>
      </c>
      <c r="BC203" s="38">
        <f t="shared" si="67"/>
        <v>0</v>
      </c>
      <c r="BD203" s="38">
        <f t="shared" si="68"/>
        <v>0</v>
      </c>
      <c r="BE203" s="38">
        <v>0</v>
      </c>
      <c r="BF203" s="38">
        <f>203</f>
        <v>203</v>
      </c>
      <c r="BH203" s="22">
        <f t="shared" si="69"/>
        <v>0</v>
      </c>
      <c r="BI203" s="22">
        <f t="shared" si="70"/>
        <v>0</v>
      </c>
      <c r="BJ203" s="22">
        <f t="shared" si="71"/>
        <v>0</v>
      </c>
      <c r="BK203" s="22" t="s">
        <v>622</v>
      </c>
      <c r="BL203" s="38"/>
    </row>
    <row r="204" spans="1:64" x14ac:dyDescent="0.2">
      <c r="A204" s="7" t="s">
        <v>125</v>
      </c>
      <c r="B204" s="16" t="s">
        <v>285</v>
      </c>
      <c r="C204" s="156" t="s">
        <v>505</v>
      </c>
      <c r="D204" s="157"/>
      <c r="E204" s="157"/>
      <c r="F204" s="157"/>
      <c r="G204" s="16" t="s">
        <v>540</v>
      </c>
      <c r="H204" s="22">
        <v>17</v>
      </c>
      <c r="I204" s="28">
        <v>0</v>
      </c>
      <c r="J204" s="22">
        <f t="shared" si="48"/>
        <v>0</v>
      </c>
      <c r="K204" s="22">
        <f t="shared" si="49"/>
        <v>0</v>
      </c>
      <c r="L204" s="22">
        <f t="shared" si="50"/>
        <v>0</v>
      </c>
      <c r="M204" s="102" t="s">
        <v>763</v>
      </c>
      <c r="N204" s="5"/>
      <c r="Z204" s="38">
        <f t="shared" si="51"/>
        <v>0</v>
      </c>
      <c r="AB204" s="38">
        <f t="shared" si="52"/>
        <v>0</v>
      </c>
      <c r="AC204" s="38">
        <f t="shared" si="53"/>
        <v>0</v>
      </c>
      <c r="AD204" s="38">
        <f t="shared" si="54"/>
        <v>0</v>
      </c>
      <c r="AE204" s="38">
        <f t="shared" si="55"/>
        <v>0</v>
      </c>
      <c r="AF204" s="38">
        <f t="shared" si="56"/>
        <v>0</v>
      </c>
      <c r="AG204" s="38">
        <f t="shared" si="57"/>
        <v>0</v>
      </c>
      <c r="AH204" s="38">
        <f t="shared" si="58"/>
        <v>0</v>
      </c>
      <c r="AI204" s="37"/>
      <c r="AJ204" s="22">
        <f t="shared" si="59"/>
        <v>0</v>
      </c>
      <c r="AK204" s="22">
        <f t="shared" si="60"/>
        <v>0</v>
      </c>
      <c r="AL204" s="22">
        <f t="shared" si="61"/>
        <v>0</v>
      </c>
      <c r="AN204" s="38">
        <v>12</v>
      </c>
      <c r="AO204" s="38">
        <f t="shared" si="62"/>
        <v>0</v>
      </c>
      <c r="AP204" s="38">
        <f t="shared" si="63"/>
        <v>0</v>
      </c>
      <c r="AQ204" s="40" t="s">
        <v>153</v>
      </c>
      <c r="AV204" s="38">
        <f t="shared" si="64"/>
        <v>0</v>
      </c>
      <c r="AW204" s="38">
        <f t="shared" si="65"/>
        <v>0</v>
      </c>
      <c r="AX204" s="38">
        <f t="shared" si="66"/>
        <v>0</v>
      </c>
      <c r="AY204" s="41" t="s">
        <v>605</v>
      </c>
      <c r="AZ204" s="41" t="s">
        <v>615</v>
      </c>
      <c r="BA204" s="37" t="s">
        <v>616</v>
      </c>
      <c r="BC204" s="38">
        <f t="shared" si="67"/>
        <v>0</v>
      </c>
      <c r="BD204" s="38">
        <f t="shared" si="68"/>
        <v>0</v>
      </c>
      <c r="BE204" s="38">
        <v>0</v>
      </c>
      <c r="BF204" s="38">
        <f>204</f>
        <v>204</v>
      </c>
      <c r="BH204" s="22">
        <f t="shared" si="69"/>
        <v>0</v>
      </c>
      <c r="BI204" s="22">
        <f t="shared" si="70"/>
        <v>0</v>
      </c>
      <c r="BJ204" s="22">
        <f t="shared" si="71"/>
        <v>0</v>
      </c>
      <c r="BK204" s="22" t="s">
        <v>622</v>
      </c>
      <c r="BL204" s="38"/>
    </row>
    <row r="205" spans="1:64" x14ac:dyDescent="0.2">
      <c r="A205" s="7" t="s">
        <v>126</v>
      </c>
      <c r="B205" s="16" t="s">
        <v>286</v>
      </c>
      <c r="C205" s="156" t="s">
        <v>506</v>
      </c>
      <c r="D205" s="157"/>
      <c r="E205" s="157"/>
      <c r="F205" s="157"/>
      <c r="G205" s="16" t="s">
        <v>537</v>
      </c>
      <c r="H205" s="22">
        <v>24</v>
      </c>
      <c r="I205" s="28">
        <v>0</v>
      </c>
      <c r="J205" s="22">
        <f t="shared" si="48"/>
        <v>0</v>
      </c>
      <c r="K205" s="22">
        <f t="shared" si="49"/>
        <v>0</v>
      </c>
      <c r="L205" s="22">
        <f t="shared" si="50"/>
        <v>0</v>
      </c>
      <c r="M205" s="102" t="s">
        <v>763</v>
      </c>
      <c r="N205" s="5"/>
      <c r="Z205" s="38">
        <f t="shared" si="51"/>
        <v>0</v>
      </c>
      <c r="AB205" s="38">
        <f t="shared" si="52"/>
        <v>0</v>
      </c>
      <c r="AC205" s="38">
        <f t="shared" si="53"/>
        <v>0</v>
      </c>
      <c r="AD205" s="38">
        <f t="shared" si="54"/>
        <v>0</v>
      </c>
      <c r="AE205" s="38">
        <f t="shared" si="55"/>
        <v>0</v>
      </c>
      <c r="AF205" s="38">
        <f t="shared" si="56"/>
        <v>0</v>
      </c>
      <c r="AG205" s="38">
        <f t="shared" si="57"/>
        <v>0</v>
      </c>
      <c r="AH205" s="38">
        <f t="shared" si="58"/>
        <v>0</v>
      </c>
      <c r="AI205" s="37"/>
      <c r="AJ205" s="22">
        <f t="shared" si="59"/>
        <v>0</v>
      </c>
      <c r="AK205" s="22">
        <f t="shared" si="60"/>
        <v>0</v>
      </c>
      <c r="AL205" s="22">
        <f t="shared" si="61"/>
        <v>0</v>
      </c>
      <c r="AN205" s="38">
        <v>12</v>
      </c>
      <c r="AO205" s="38">
        <f t="shared" si="62"/>
        <v>0</v>
      </c>
      <c r="AP205" s="38">
        <f t="shared" si="63"/>
        <v>0</v>
      </c>
      <c r="AQ205" s="40" t="s">
        <v>153</v>
      </c>
      <c r="AV205" s="38">
        <f t="shared" si="64"/>
        <v>0</v>
      </c>
      <c r="AW205" s="38">
        <f t="shared" si="65"/>
        <v>0</v>
      </c>
      <c r="AX205" s="38">
        <f t="shared" si="66"/>
        <v>0</v>
      </c>
      <c r="AY205" s="41" t="s">
        <v>605</v>
      </c>
      <c r="AZ205" s="41" t="s">
        <v>615</v>
      </c>
      <c r="BA205" s="37" t="s">
        <v>616</v>
      </c>
      <c r="BC205" s="38">
        <f t="shared" si="67"/>
        <v>0</v>
      </c>
      <c r="BD205" s="38">
        <f t="shared" si="68"/>
        <v>0</v>
      </c>
      <c r="BE205" s="38">
        <v>0</v>
      </c>
      <c r="BF205" s="38">
        <f>205</f>
        <v>205</v>
      </c>
      <c r="BH205" s="22">
        <f t="shared" si="69"/>
        <v>0</v>
      </c>
      <c r="BI205" s="22">
        <f t="shared" si="70"/>
        <v>0</v>
      </c>
      <c r="BJ205" s="22">
        <f t="shared" si="71"/>
        <v>0</v>
      </c>
      <c r="BK205" s="22" t="s">
        <v>622</v>
      </c>
      <c r="BL205" s="38"/>
    </row>
    <row r="206" spans="1:64" x14ac:dyDescent="0.2">
      <c r="A206" s="7" t="s">
        <v>127</v>
      </c>
      <c r="B206" s="16" t="s">
        <v>287</v>
      </c>
      <c r="C206" s="156" t="s">
        <v>507</v>
      </c>
      <c r="D206" s="157"/>
      <c r="E206" s="157"/>
      <c r="F206" s="157"/>
      <c r="G206" s="16" t="s">
        <v>540</v>
      </c>
      <c r="H206" s="22">
        <v>3</v>
      </c>
      <c r="I206" s="28">
        <v>0</v>
      </c>
      <c r="J206" s="22">
        <f t="shared" si="48"/>
        <v>0</v>
      </c>
      <c r="K206" s="22">
        <f t="shared" si="49"/>
        <v>0</v>
      </c>
      <c r="L206" s="22">
        <f t="shared" si="50"/>
        <v>0</v>
      </c>
      <c r="M206" s="102" t="s">
        <v>763</v>
      </c>
      <c r="N206" s="5"/>
      <c r="Z206" s="38">
        <f t="shared" si="51"/>
        <v>0</v>
      </c>
      <c r="AB206" s="38">
        <f t="shared" si="52"/>
        <v>0</v>
      </c>
      <c r="AC206" s="38">
        <f t="shared" si="53"/>
        <v>0</v>
      </c>
      <c r="AD206" s="38">
        <f t="shared" si="54"/>
        <v>0</v>
      </c>
      <c r="AE206" s="38">
        <f t="shared" si="55"/>
        <v>0</v>
      </c>
      <c r="AF206" s="38">
        <f t="shared" si="56"/>
        <v>0</v>
      </c>
      <c r="AG206" s="38">
        <f t="shared" si="57"/>
        <v>0</v>
      </c>
      <c r="AH206" s="38">
        <f t="shared" si="58"/>
        <v>0</v>
      </c>
      <c r="AI206" s="37"/>
      <c r="AJ206" s="22">
        <f t="shared" si="59"/>
        <v>0</v>
      </c>
      <c r="AK206" s="22">
        <f t="shared" si="60"/>
        <v>0</v>
      </c>
      <c r="AL206" s="22">
        <f t="shared" si="61"/>
        <v>0</v>
      </c>
      <c r="AN206" s="38">
        <v>12</v>
      </c>
      <c r="AO206" s="38">
        <f t="shared" si="62"/>
        <v>0</v>
      </c>
      <c r="AP206" s="38">
        <f t="shared" si="63"/>
        <v>0</v>
      </c>
      <c r="AQ206" s="40" t="s">
        <v>153</v>
      </c>
      <c r="AV206" s="38">
        <f t="shared" si="64"/>
        <v>0</v>
      </c>
      <c r="AW206" s="38">
        <f t="shared" si="65"/>
        <v>0</v>
      </c>
      <c r="AX206" s="38">
        <f t="shared" si="66"/>
        <v>0</v>
      </c>
      <c r="AY206" s="41" t="s">
        <v>605</v>
      </c>
      <c r="AZ206" s="41" t="s">
        <v>615</v>
      </c>
      <c r="BA206" s="37" t="s">
        <v>616</v>
      </c>
      <c r="BC206" s="38">
        <f t="shared" si="67"/>
        <v>0</v>
      </c>
      <c r="BD206" s="38">
        <f t="shared" si="68"/>
        <v>0</v>
      </c>
      <c r="BE206" s="38">
        <v>0</v>
      </c>
      <c r="BF206" s="38">
        <f>206</f>
        <v>206</v>
      </c>
      <c r="BH206" s="22">
        <f t="shared" si="69"/>
        <v>0</v>
      </c>
      <c r="BI206" s="22">
        <f t="shared" si="70"/>
        <v>0</v>
      </c>
      <c r="BJ206" s="22">
        <f t="shared" si="71"/>
        <v>0</v>
      </c>
      <c r="BK206" s="22" t="s">
        <v>622</v>
      </c>
      <c r="BL206" s="38"/>
    </row>
    <row r="207" spans="1:64" x14ac:dyDescent="0.2">
      <c r="A207" s="7" t="s">
        <v>128</v>
      </c>
      <c r="B207" s="16" t="s">
        <v>288</v>
      </c>
      <c r="C207" s="156" t="s">
        <v>508</v>
      </c>
      <c r="D207" s="157"/>
      <c r="E207" s="157"/>
      <c r="F207" s="157"/>
      <c r="G207" s="16" t="s">
        <v>537</v>
      </c>
      <c r="H207" s="22">
        <v>32</v>
      </c>
      <c r="I207" s="28">
        <v>0</v>
      </c>
      <c r="J207" s="22">
        <f t="shared" si="48"/>
        <v>0</v>
      </c>
      <c r="K207" s="22">
        <f t="shared" si="49"/>
        <v>0</v>
      </c>
      <c r="L207" s="22">
        <f t="shared" si="50"/>
        <v>0</v>
      </c>
      <c r="M207" s="102" t="s">
        <v>763</v>
      </c>
      <c r="N207" s="5"/>
      <c r="Z207" s="38">
        <f t="shared" si="51"/>
        <v>0</v>
      </c>
      <c r="AB207" s="38">
        <f t="shared" si="52"/>
        <v>0</v>
      </c>
      <c r="AC207" s="38">
        <f t="shared" si="53"/>
        <v>0</v>
      </c>
      <c r="AD207" s="38">
        <f t="shared" si="54"/>
        <v>0</v>
      </c>
      <c r="AE207" s="38">
        <f t="shared" si="55"/>
        <v>0</v>
      </c>
      <c r="AF207" s="38">
        <f t="shared" si="56"/>
        <v>0</v>
      </c>
      <c r="AG207" s="38">
        <f t="shared" si="57"/>
        <v>0</v>
      </c>
      <c r="AH207" s="38">
        <f t="shared" si="58"/>
        <v>0</v>
      </c>
      <c r="AI207" s="37"/>
      <c r="AJ207" s="22">
        <f t="shared" si="59"/>
        <v>0</v>
      </c>
      <c r="AK207" s="22">
        <f t="shared" si="60"/>
        <v>0</v>
      </c>
      <c r="AL207" s="22">
        <f t="shared" si="61"/>
        <v>0</v>
      </c>
      <c r="AN207" s="38">
        <v>12</v>
      </c>
      <c r="AO207" s="38">
        <f t="shared" si="62"/>
        <v>0</v>
      </c>
      <c r="AP207" s="38">
        <f t="shared" si="63"/>
        <v>0</v>
      </c>
      <c r="AQ207" s="40" t="s">
        <v>153</v>
      </c>
      <c r="AV207" s="38">
        <f t="shared" si="64"/>
        <v>0</v>
      </c>
      <c r="AW207" s="38">
        <f t="shared" si="65"/>
        <v>0</v>
      </c>
      <c r="AX207" s="38">
        <f t="shared" si="66"/>
        <v>0</v>
      </c>
      <c r="AY207" s="41" t="s">
        <v>605</v>
      </c>
      <c r="AZ207" s="41" t="s">
        <v>615</v>
      </c>
      <c r="BA207" s="37" t="s">
        <v>616</v>
      </c>
      <c r="BC207" s="38">
        <f t="shared" si="67"/>
        <v>0</v>
      </c>
      <c r="BD207" s="38">
        <f t="shared" si="68"/>
        <v>0</v>
      </c>
      <c r="BE207" s="38">
        <v>0</v>
      </c>
      <c r="BF207" s="38">
        <f>207</f>
        <v>207</v>
      </c>
      <c r="BH207" s="22">
        <f t="shared" si="69"/>
        <v>0</v>
      </c>
      <c r="BI207" s="22">
        <f t="shared" si="70"/>
        <v>0</v>
      </c>
      <c r="BJ207" s="22">
        <f t="shared" si="71"/>
        <v>0</v>
      </c>
      <c r="BK207" s="22" t="s">
        <v>622</v>
      </c>
      <c r="BL207" s="38"/>
    </row>
    <row r="208" spans="1:64" x14ac:dyDescent="0.2">
      <c r="A208" s="7" t="s">
        <v>129</v>
      </c>
      <c r="B208" s="16" t="s">
        <v>289</v>
      </c>
      <c r="C208" s="156" t="s">
        <v>509</v>
      </c>
      <c r="D208" s="157"/>
      <c r="E208" s="157"/>
      <c r="F208" s="157"/>
      <c r="G208" s="16" t="s">
        <v>541</v>
      </c>
      <c r="H208" s="22">
        <v>19.55</v>
      </c>
      <c r="I208" s="28">
        <v>0</v>
      </c>
      <c r="J208" s="22">
        <f t="shared" si="48"/>
        <v>0</v>
      </c>
      <c r="K208" s="22">
        <f t="shared" si="49"/>
        <v>0</v>
      </c>
      <c r="L208" s="22">
        <f t="shared" si="50"/>
        <v>0</v>
      </c>
      <c r="M208" s="105" t="s">
        <v>764</v>
      </c>
      <c r="N208" s="5"/>
      <c r="Z208" s="38">
        <f t="shared" si="51"/>
        <v>0</v>
      </c>
      <c r="AB208" s="38">
        <f t="shared" si="52"/>
        <v>0</v>
      </c>
      <c r="AC208" s="38">
        <f t="shared" si="53"/>
        <v>0</v>
      </c>
      <c r="AD208" s="38">
        <f t="shared" si="54"/>
        <v>0</v>
      </c>
      <c r="AE208" s="38">
        <f t="shared" si="55"/>
        <v>0</v>
      </c>
      <c r="AF208" s="38">
        <f t="shared" si="56"/>
        <v>0</v>
      </c>
      <c r="AG208" s="38">
        <f t="shared" si="57"/>
        <v>0</v>
      </c>
      <c r="AH208" s="38">
        <f t="shared" si="58"/>
        <v>0</v>
      </c>
      <c r="AI208" s="37"/>
      <c r="AJ208" s="22">
        <f t="shared" si="59"/>
        <v>0</v>
      </c>
      <c r="AK208" s="22">
        <f t="shared" si="60"/>
        <v>0</v>
      </c>
      <c r="AL208" s="22">
        <f t="shared" si="61"/>
        <v>0</v>
      </c>
      <c r="AN208" s="38">
        <v>12</v>
      </c>
      <c r="AO208" s="38">
        <f t="shared" si="62"/>
        <v>0</v>
      </c>
      <c r="AP208" s="38">
        <f t="shared" si="63"/>
        <v>0</v>
      </c>
      <c r="AQ208" s="40" t="s">
        <v>153</v>
      </c>
      <c r="AV208" s="38">
        <f t="shared" si="64"/>
        <v>0</v>
      </c>
      <c r="AW208" s="38">
        <f t="shared" si="65"/>
        <v>0</v>
      </c>
      <c r="AX208" s="38">
        <f t="shared" si="66"/>
        <v>0</v>
      </c>
      <c r="AY208" s="41" t="s">
        <v>605</v>
      </c>
      <c r="AZ208" s="41" t="s">
        <v>615</v>
      </c>
      <c r="BA208" s="37" t="s">
        <v>616</v>
      </c>
      <c r="BC208" s="38">
        <f t="shared" si="67"/>
        <v>0</v>
      </c>
      <c r="BD208" s="38">
        <f t="shared" si="68"/>
        <v>0</v>
      </c>
      <c r="BE208" s="38">
        <v>0</v>
      </c>
      <c r="BF208" s="38">
        <f>208</f>
        <v>208</v>
      </c>
      <c r="BH208" s="22">
        <f t="shared" si="69"/>
        <v>0</v>
      </c>
      <c r="BI208" s="22">
        <f t="shared" si="70"/>
        <v>0</v>
      </c>
      <c r="BJ208" s="22">
        <f t="shared" si="71"/>
        <v>0</v>
      </c>
      <c r="BK208" s="22" t="s">
        <v>622</v>
      </c>
      <c r="BL208" s="38"/>
    </row>
    <row r="209" spans="1:64" x14ac:dyDescent="0.2">
      <c r="A209" s="7" t="s">
        <v>130</v>
      </c>
      <c r="B209" s="16" t="s">
        <v>290</v>
      </c>
      <c r="C209" s="156" t="s">
        <v>510</v>
      </c>
      <c r="D209" s="157"/>
      <c r="E209" s="157"/>
      <c r="F209" s="157"/>
      <c r="G209" s="16" t="s">
        <v>540</v>
      </c>
      <c r="H209" s="22">
        <v>6</v>
      </c>
      <c r="I209" s="28">
        <v>0</v>
      </c>
      <c r="J209" s="22">
        <f t="shared" si="48"/>
        <v>0</v>
      </c>
      <c r="K209" s="22">
        <f t="shared" si="49"/>
        <v>0</v>
      </c>
      <c r="L209" s="22">
        <f t="shared" si="50"/>
        <v>0</v>
      </c>
      <c r="M209" s="105" t="s">
        <v>764</v>
      </c>
      <c r="N209" s="5"/>
      <c r="Z209" s="38">
        <f t="shared" si="51"/>
        <v>0</v>
      </c>
      <c r="AB209" s="38">
        <f t="shared" si="52"/>
        <v>0</v>
      </c>
      <c r="AC209" s="38">
        <f t="shared" si="53"/>
        <v>0</v>
      </c>
      <c r="AD209" s="38">
        <f t="shared" si="54"/>
        <v>0</v>
      </c>
      <c r="AE209" s="38">
        <f t="shared" si="55"/>
        <v>0</v>
      </c>
      <c r="AF209" s="38">
        <f t="shared" si="56"/>
        <v>0</v>
      </c>
      <c r="AG209" s="38">
        <f t="shared" si="57"/>
        <v>0</v>
      </c>
      <c r="AH209" s="38">
        <f t="shared" si="58"/>
        <v>0</v>
      </c>
      <c r="AI209" s="37"/>
      <c r="AJ209" s="22">
        <f t="shared" si="59"/>
        <v>0</v>
      </c>
      <c r="AK209" s="22">
        <f t="shared" si="60"/>
        <v>0</v>
      </c>
      <c r="AL209" s="22">
        <f t="shared" si="61"/>
        <v>0</v>
      </c>
      <c r="AN209" s="38">
        <v>12</v>
      </c>
      <c r="AO209" s="38">
        <f t="shared" si="62"/>
        <v>0</v>
      </c>
      <c r="AP209" s="38">
        <f t="shared" si="63"/>
        <v>0</v>
      </c>
      <c r="AQ209" s="40" t="s">
        <v>153</v>
      </c>
      <c r="AV209" s="38">
        <f t="shared" si="64"/>
        <v>0</v>
      </c>
      <c r="AW209" s="38">
        <f t="shared" si="65"/>
        <v>0</v>
      </c>
      <c r="AX209" s="38">
        <f t="shared" si="66"/>
        <v>0</v>
      </c>
      <c r="AY209" s="41" t="s">
        <v>605</v>
      </c>
      <c r="AZ209" s="41" t="s">
        <v>615</v>
      </c>
      <c r="BA209" s="37" t="s">
        <v>616</v>
      </c>
      <c r="BC209" s="38">
        <f t="shared" si="67"/>
        <v>0</v>
      </c>
      <c r="BD209" s="38">
        <f t="shared" si="68"/>
        <v>0</v>
      </c>
      <c r="BE209" s="38">
        <v>0</v>
      </c>
      <c r="BF209" s="38">
        <f>209</f>
        <v>209</v>
      </c>
      <c r="BH209" s="22">
        <f t="shared" si="69"/>
        <v>0</v>
      </c>
      <c r="BI209" s="22">
        <f t="shared" si="70"/>
        <v>0</v>
      </c>
      <c r="BJ209" s="22">
        <f t="shared" si="71"/>
        <v>0</v>
      </c>
      <c r="BK209" s="22" t="s">
        <v>622</v>
      </c>
      <c r="BL209" s="38"/>
    </row>
    <row r="210" spans="1:64" x14ac:dyDescent="0.2">
      <c r="A210" s="7" t="s">
        <v>131</v>
      </c>
      <c r="B210" s="16" t="s">
        <v>291</v>
      </c>
      <c r="C210" s="156" t="s">
        <v>511</v>
      </c>
      <c r="D210" s="157"/>
      <c r="E210" s="157"/>
      <c r="F210" s="157"/>
      <c r="G210" s="16" t="s">
        <v>540</v>
      </c>
      <c r="H210" s="22">
        <v>7</v>
      </c>
      <c r="I210" s="28">
        <v>0</v>
      </c>
      <c r="J210" s="22">
        <f t="shared" si="48"/>
        <v>0</v>
      </c>
      <c r="K210" s="22">
        <f t="shared" si="49"/>
        <v>0</v>
      </c>
      <c r="L210" s="22">
        <f t="shared" si="50"/>
        <v>0</v>
      </c>
      <c r="M210" s="105" t="s">
        <v>764</v>
      </c>
      <c r="N210" s="5"/>
      <c r="Z210" s="38">
        <f t="shared" si="51"/>
        <v>0</v>
      </c>
      <c r="AB210" s="38">
        <f t="shared" si="52"/>
        <v>0</v>
      </c>
      <c r="AC210" s="38">
        <f t="shared" si="53"/>
        <v>0</v>
      </c>
      <c r="AD210" s="38">
        <f t="shared" si="54"/>
        <v>0</v>
      </c>
      <c r="AE210" s="38">
        <f t="shared" si="55"/>
        <v>0</v>
      </c>
      <c r="AF210" s="38">
        <f t="shared" si="56"/>
        <v>0</v>
      </c>
      <c r="AG210" s="38">
        <f t="shared" si="57"/>
        <v>0</v>
      </c>
      <c r="AH210" s="38">
        <f t="shared" si="58"/>
        <v>0</v>
      </c>
      <c r="AI210" s="37"/>
      <c r="AJ210" s="22">
        <f t="shared" si="59"/>
        <v>0</v>
      </c>
      <c r="AK210" s="22">
        <f t="shared" si="60"/>
        <v>0</v>
      </c>
      <c r="AL210" s="22">
        <f t="shared" si="61"/>
        <v>0</v>
      </c>
      <c r="AN210" s="38">
        <v>12</v>
      </c>
      <c r="AO210" s="38">
        <f t="shared" si="62"/>
        <v>0</v>
      </c>
      <c r="AP210" s="38">
        <f t="shared" si="63"/>
        <v>0</v>
      </c>
      <c r="AQ210" s="40" t="s">
        <v>153</v>
      </c>
      <c r="AV210" s="38">
        <f t="shared" si="64"/>
        <v>0</v>
      </c>
      <c r="AW210" s="38">
        <f t="shared" si="65"/>
        <v>0</v>
      </c>
      <c r="AX210" s="38">
        <f t="shared" si="66"/>
        <v>0</v>
      </c>
      <c r="AY210" s="41" t="s">
        <v>605</v>
      </c>
      <c r="AZ210" s="41" t="s">
        <v>615</v>
      </c>
      <c r="BA210" s="37" t="s">
        <v>616</v>
      </c>
      <c r="BC210" s="38">
        <f t="shared" si="67"/>
        <v>0</v>
      </c>
      <c r="BD210" s="38">
        <f t="shared" si="68"/>
        <v>0</v>
      </c>
      <c r="BE210" s="38">
        <v>0</v>
      </c>
      <c r="BF210" s="38">
        <f>210</f>
        <v>210</v>
      </c>
      <c r="BH210" s="22">
        <f t="shared" si="69"/>
        <v>0</v>
      </c>
      <c r="BI210" s="22">
        <f t="shared" si="70"/>
        <v>0</v>
      </c>
      <c r="BJ210" s="22">
        <f t="shared" si="71"/>
        <v>0</v>
      </c>
      <c r="BK210" s="22" t="s">
        <v>622</v>
      </c>
      <c r="BL210" s="38"/>
    </row>
    <row r="211" spans="1:64" x14ac:dyDescent="0.2">
      <c r="A211" s="7" t="s">
        <v>132</v>
      </c>
      <c r="B211" s="16" t="s">
        <v>292</v>
      </c>
      <c r="C211" s="156" t="s">
        <v>512</v>
      </c>
      <c r="D211" s="157"/>
      <c r="E211" s="157"/>
      <c r="F211" s="157"/>
      <c r="G211" s="16" t="s">
        <v>540</v>
      </c>
      <c r="H211" s="22">
        <v>4</v>
      </c>
      <c r="I211" s="28">
        <v>0</v>
      </c>
      <c r="J211" s="22">
        <f t="shared" si="48"/>
        <v>0</v>
      </c>
      <c r="K211" s="22">
        <f t="shared" si="49"/>
        <v>0</v>
      </c>
      <c r="L211" s="22">
        <f t="shared" si="50"/>
        <v>0</v>
      </c>
      <c r="M211" s="105" t="s">
        <v>764</v>
      </c>
      <c r="N211" s="5"/>
      <c r="Z211" s="38">
        <f t="shared" si="51"/>
        <v>0</v>
      </c>
      <c r="AB211" s="38">
        <f t="shared" si="52"/>
        <v>0</v>
      </c>
      <c r="AC211" s="38">
        <f t="shared" si="53"/>
        <v>0</v>
      </c>
      <c r="AD211" s="38">
        <f t="shared" si="54"/>
        <v>0</v>
      </c>
      <c r="AE211" s="38">
        <f t="shared" si="55"/>
        <v>0</v>
      </c>
      <c r="AF211" s="38">
        <f t="shared" si="56"/>
        <v>0</v>
      </c>
      <c r="AG211" s="38">
        <f t="shared" si="57"/>
        <v>0</v>
      </c>
      <c r="AH211" s="38">
        <f t="shared" si="58"/>
        <v>0</v>
      </c>
      <c r="AI211" s="37"/>
      <c r="AJ211" s="22">
        <f t="shared" si="59"/>
        <v>0</v>
      </c>
      <c r="AK211" s="22">
        <f t="shared" si="60"/>
        <v>0</v>
      </c>
      <c r="AL211" s="22">
        <f t="shared" si="61"/>
        <v>0</v>
      </c>
      <c r="AN211" s="38">
        <v>12</v>
      </c>
      <c r="AO211" s="38">
        <f t="shared" si="62"/>
        <v>0</v>
      </c>
      <c r="AP211" s="38">
        <f t="shared" si="63"/>
        <v>0</v>
      </c>
      <c r="AQ211" s="40" t="s">
        <v>153</v>
      </c>
      <c r="AV211" s="38">
        <f t="shared" si="64"/>
        <v>0</v>
      </c>
      <c r="AW211" s="38">
        <f t="shared" si="65"/>
        <v>0</v>
      </c>
      <c r="AX211" s="38">
        <f t="shared" si="66"/>
        <v>0</v>
      </c>
      <c r="AY211" s="41" t="s">
        <v>605</v>
      </c>
      <c r="AZ211" s="41" t="s">
        <v>615</v>
      </c>
      <c r="BA211" s="37" t="s">
        <v>616</v>
      </c>
      <c r="BC211" s="38">
        <f t="shared" si="67"/>
        <v>0</v>
      </c>
      <c r="BD211" s="38">
        <f t="shared" si="68"/>
        <v>0</v>
      </c>
      <c r="BE211" s="38">
        <v>0</v>
      </c>
      <c r="BF211" s="38">
        <f>211</f>
        <v>211</v>
      </c>
      <c r="BH211" s="22">
        <f t="shared" si="69"/>
        <v>0</v>
      </c>
      <c r="BI211" s="22">
        <f t="shared" si="70"/>
        <v>0</v>
      </c>
      <c r="BJ211" s="22">
        <f t="shared" si="71"/>
        <v>0</v>
      </c>
      <c r="BK211" s="22" t="s">
        <v>622</v>
      </c>
      <c r="BL211" s="38"/>
    </row>
    <row r="212" spans="1:64" x14ac:dyDescent="0.2">
      <c r="A212" s="7" t="s">
        <v>133</v>
      </c>
      <c r="B212" s="16" t="s">
        <v>293</v>
      </c>
      <c r="C212" s="156" t="s">
        <v>513</v>
      </c>
      <c r="D212" s="157"/>
      <c r="E212" s="157"/>
      <c r="F212" s="157"/>
      <c r="G212" s="16" t="s">
        <v>544</v>
      </c>
      <c r="H212" s="22">
        <v>9</v>
      </c>
      <c r="I212" s="28">
        <v>0</v>
      </c>
      <c r="J212" s="22">
        <f t="shared" si="48"/>
        <v>0</v>
      </c>
      <c r="K212" s="22">
        <f t="shared" si="49"/>
        <v>0</v>
      </c>
      <c r="L212" s="22">
        <f t="shared" si="50"/>
        <v>0</v>
      </c>
      <c r="M212" s="105" t="s">
        <v>764</v>
      </c>
      <c r="N212" s="5"/>
      <c r="Z212" s="38">
        <f t="shared" si="51"/>
        <v>0</v>
      </c>
      <c r="AB212" s="38">
        <f t="shared" si="52"/>
        <v>0</v>
      </c>
      <c r="AC212" s="38">
        <f t="shared" si="53"/>
        <v>0</v>
      </c>
      <c r="AD212" s="38">
        <f t="shared" si="54"/>
        <v>0</v>
      </c>
      <c r="AE212" s="38">
        <f t="shared" si="55"/>
        <v>0</v>
      </c>
      <c r="AF212" s="38">
        <f t="shared" si="56"/>
        <v>0</v>
      </c>
      <c r="AG212" s="38">
        <f t="shared" si="57"/>
        <v>0</v>
      </c>
      <c r="AH212" s="38">
        <f t="shared" si="58"/>
        <v>0</v>
      </c>
      <c r="AI212" s="37"/>
      <c r="AJ212" s="22">
        <f t="shared" si="59"/>
        <v>0</v>
      </c>
      <c r="AK212" s="22">
        <f t="shared" si="60"/>
        <v>0</v>
      </c>
      <c r="AL212" s="22">
        <f t="shared" si="61"/>
        <v>0</v>
      </c>
      <c r="AN212" s="38">
        <v>12</v>
      </c>
      <c r="AO212" s="38">
        <f t="shared" si="62"/>
        <v>0</v>
      </c>
      <c r="AP212" s="38">
        <f t="shared" si="63"/>
        <v>0</v>
      </c>
      <c r="AQ212" s="40" t="s">
        <v>153</v>
      </c>
      <c r="AV212" s="38">
        <f t="shared" si="64"/>
        <v>0</v>
      </c>
      <c r="AW212" s="38">
        <f t="shared" si="65"/>
        <v>0</v>
      </c>
      <c r="AX212" s="38">
        <f t="shared" si="66"/>
        <v>0</v>
      </c>
      <c r="AY212" s="41" t="s">
        <v>605</v>
      </c>
      <c r="AZ212" s="41" t="s">
        <v>615</v>
      </c>
      <c r="BA212" s="37" t="s">
        <v>616</v>
      </c>
      <c r="BC212" s="38">
        <f t="shared" si="67"/>
        <v>0</v>
      </c>
      <c r="BD212" s="38">
        <f t="shared" si="68"/>
        <v>0</v>
      </c>
      <c r="BE212" s="38">
        <v>0</v>
      </c>
      <c r="BF212" s="38">
        <f>212</f>
        <v>212</v>
      </c>
      <c r="BH212" s="22">
        <f t="shared" si="69"/>
        <v>0</v>
      </c>
      <c r="BI212" s="22">
        <f t="shared" si="70"/>
        <v>0</v>
      </c>
      <c r="BJ212" s="22">
        <f t="shared" si="71"/>
        <v>0</v>
      </c>
      <c r="BK212" s="22" t="s">
        <v>622</v>
      </c>
      <c r="BL212" s="38"/>
    </row>
    <row r="213" spans="1:64" x14ac:dyDescent="0.2">
      <c r="A213" s="7" t="s">
        <v>134</v>
      </c>
      <c r="B213" s="16" t="s">
        <v>294</v>
      </c>
      <c r="C213" s="156" t="s">
        <v>514</v>
      </c>
      <c r="D213" s="157"/>
      <c r="E213" s="157"/>
      <c r="F213" s="157"/>
      <c r="G213" s="16" t="s">
        <v>539</v>
      </c>
      <c r="H213" s="22">
        <v>2.6850000000000001</v>
      </c>
      <c r="I213" s="28">
        <v>0</v>
      </c>
      <c r="J213" s="22">
        <f t="shared" si="48"/>
        <v>0</v>
      </c>
      <c r="K213" s="22">
        <f t="shared" si="49"/>
        <v>0</v>
      </c>
      <c r="L213" s="22">
        <f t="shared" si="50"/>
        <v>0</v>
      </c>
      <c r="M213" s="102" t="s">
        <v>763</v>
      </c>
      <c r="N213" s="5"/>
      <c r="Z213" s="38">
        <f t="shared" si="51"/>
        <v>0</v>
      </c>
      <c r="AB213" s="38">
        <f t="shared" si="52"/>
        <v>0</v>
      </c>
      <c r="AC213" s="38">
        <f t="shared" si="53"/>
        <v>0</v>
      </c>
      <c r="AD213" s="38">
        <f t="shared" si="54"/>
        <v>0</v>
      </c>
      <c r="AE213" s="38">
        <f t="shared" si="55"/>
        <v>0</v>
      </c>
      <c r="AF213" s="38">
        <f t="shared" si="56"/>
        <v>0</v>
      </c>
      <c r="AG213" s="38">
        <f t="shared" si="57"/>
        <v>0</v>
      </c>
      <c r="AH213" s="38">
        <f t="shared" si="58"/>
        <v>0</v>
      </c>
      <c r="AI213" s="37"/>
      <c r="AJ213" s="22">
        <f t="shared" si="59"/>
        <v>0</v>
      </c>
      <c r="AK213" s="22">
        <f t="shared" si="60"/>
        <v>0</v>
      </c>
      <c r="AL213" s="22">
        <f t="shared" si="61"/>
        <v>0</v>
      </c>
      <c r="AN213" s="38">
        <v>12</v>
      </c>
      <c r="AO213" s="38">
        <f t="shared" si="62"/>
        <v>0</v>
      </c>
      <c r="AP213" s="38">
        <f t="shared" si="63"/>
        <v>0</v>
      </c>
      <c r="AQ213" s="40" t="s">
        <v>153</v>
      </c>
      <c r="AV213" s="38">
        <f t="shared" si="64"/>
        <v>0</v>
      </c>
      <c r="AW213" s="38">
        <f t="shared" si="65"/>
        <v>0</v>
      </c>
      <c r="AX213" s="38">
        <f t="shared" si="66"/>
        <v>0</v>
      </c>
      <c r="AY213" s="41" t="s">
        <v>605</v>
      </c>
      <c r="AZ213" s="41" t="s">
        <v>615</v>
      </c>
      <c r="BA213" s="37" t="s">
        <v>616</v>
      </c>
      <c r="BC213" s="38">
        <f t="shared" si="67"/>
        <v>0</v>
      </c>
      <c r="BD213" s="38">
        <f t="shared" si="68"/>
        <v>0</v>
      </c>
      <c r="BE213" s="38">
        <v>0</v>
      </c>
      <c r="BF213" s="38">
        <f>213</f>
        <v>213</v>
      </c>
      <c r="BH213" s="22">
        <f t="shared" si="69"/>
        <v>0</v>
      </c>
      <c r="BI213" s="22">
        <f t="shared" si="70"/>
        <v>0</v>
      </c>
      <c r="BJ213" s="22">
        <f t="shared" si="71"/>
        <v>0</v>
      </c>
      <c r="BK213" s="22" t="s">
        <v>622</v>
      </c>
      <c r="BL213" s="38"/>
    </row>
    <row r="214" spans="1:64" x14ac:dyDescent="0.2">
      <c r="A214" s="7" t="s">
        <v>135</v>
      </c>
      <c r="B214" s="16" t="s">
        <v>295</v>
      </c>
      <c r="C214" s="156" t="s">
        <v>515</v>
      </c>
      <c r="D214" s="157"/>
      <c r="E214" s="157"/>
      <c r="F214" s="157"/>
      <c r="G214" s="16" t="s">
        <v>538</v>
      </c>
      <c r="H214" s="22">
        <v>0.06</v>
      </c>
      <c r="I214" s="28">
        <v>0</v>
      </c>
      <c r="J214" s="22">
        <f t="shared" si="48"/>
        <v>0</v>
      </c>
      <c r="K214" s="22">
        <f t="shared" si="49"/>
        <v>0</v>
      </c>
      <c r="L214" s="22">
        <f t="shared" si="50"/>
        <v>0</v>
      </c>
      <c r="M214" s="102" t="s">
        <v>763</v>
      </c>
      <c r="N214" s="5"/>
      <c r="Z214" s="38">
        <f t="shared" si="51"/>
        <v>0</v>
      </c>
      <c r="AB214" s="38">
        <f t="shared" si="52"/>
        <v>0</v>
      </c>
      <c r="AC214" s="38">
        <f t="shared" si="53"/>
        <v>0</v>
      </c>
      <c r="AD214" s="38">
        <f t="shared" si="54"/>
        <v>0</v>
      </c>
      <c r="AE214" s="38">
        <f t="shared" si="55"/>
        <v>0</v>
      </c>
      <c r="AF214" s="38">
        <f t="shared" si="56"/>
        <v>0</v>
      </c>
      <c r="AG214" s="38">
        <f t="shared" si="57"/>
        <v>0</v>
      </c>
      <c r="AH214" s="38">
        <f t="shared" si="58"/>
        <v>0</v>
      </c>
      <c r="AI214" s="37"/>
      <c r="AJ214" s="22">
        <f t="shared" si="59"/>
        <v>0</v>
      </c>
      <c r="AK214" s="22">
        <f t="shared" si="60"/>
        <v>0</v>
      </c>
      <c r="AL214" s="22">
        <f t="shared" si="61"/>
        <v>0</v>
      </c>
      <c r="AN214" s="38">
        <v>12</v>
      </c>
      <c r="AO214" s="38">
        <f t="shared" si="62"/>
        <v>0</v>
      </c>
      <c r="AP214" s="38">
        <f t="shared" si="63"/>
        <v>0</v>
      </c>
      <c r="AQ214" s="40" t="s">
        <v>153</v>
      </c>
      <c r="AV214" s="38">
        <f t="shared" si="64"/>
        <v>0</v>
      </c>
      <c r="AW214" s="38">
        <f t="shared" si="65"/>
        <v>0</v>
      </c>
      <c r="AX214" s="38">
        <f t="shared" si="66"/>
        <v>0</v>
      </c>
      <c r="AY214" s="41" t="s">
        <v>605</v>
      </c>
      <c r="AZ214" s="41" t="s">
        <v>615</v>
      </c>
      <c r="BA214" s="37" t="s">
        <v>616</v>
      </c>
      <c r="BC214" s="38">
        <f t="shared" si="67"/>
        <v>0</v>
      </c>
      <c r="BD214" s="38">
        <f t="shared" si="68"/>
        <v>0</v>
      </c>
      <c r="BE214" s="38">
        <v>0</v>
      </c>
      <c r="BF214" s="38">
        <f>214</f>
        <v>214</v>
      </c>
      <c r="BH214" s="22">
        <f t="shared" si="69"/>
        <v>0</v>
      </c>
      <c r="BI214" s="22">
        <f t="shared" si="70"/>
        <v>0</v>
      </c>
      <c r="BJ214" s="22">
        <f t="shared" si="71"/>
        <v>0</v>
      </c>
      <c r="BK214" s="22" t="s">
        <v>622</v>
      </c>
      <c r="BL214" s="38"/>
    </row>
    <row r="215" spans="1:64" x14ac:dyDescent="0.2">
      <c r="A215" s="7" t="s">
        <v>136</v>
      </c>
      <c r="B215" s="16" t="s">
        <v>296</v>
      </c>
      <c r="C215" s="156" t="s">
        <v>516</v>
      </c>
      <c r="D215" s="157"/>
      <c r="E215" s="157"/>
      <c r="F215" s="157"/>
      <c r="G215" s="16" t="s">
        <v>538</v>
      </c>
      <c r="H215" s="22">
        <v>0.02</v>
      </c>
      <c r="I215" s="28">
        <v>0</v>
      </c>
      <c r="J215" s="22">
        <f t="shared" si="48"/>
        <v>0</v>
      </c>
      <c r="K215" s="22">
        <f t="shared" si="49"/>
        <v>0</v>
      </c>
      <c r="L215" s="22">
        <f t="shared" si="50"/>
        <v>0</v>
      </c>
      <c r="M215" s="102" t="s">
        <v>763</v>
      </c>
      <c r="N215" s="5"/>
      <c r="Z215" s="38">
        <f t="shared" si="51"/>
        <v>0</v>
      </c>
      <c r="AB215" s="38">
        <f t="shared" si="52"/>
        <v>0</v>
      </c>
      <c r="AC215" s="38">
        <f t="shared" si="53"/>
        <v>0</v>
      </c>
      <c r="AD215" s="38">
        <f t="shared" si="54"/>
        <v>0</v>
      </c>
      <c r="AE215" s="38">
        <f t="shared" si="55"/>
        <v>0</v>
      </c>
      <c r="AF215" s="38">
        <f t="shared" si="56"/>
        <v>0</v>
      </c>
      <c r="AG215" s="38">
        <f t="shared" si="57"/>
        <v>0</v>
      </c>
      <c r="AH215" s="38">
        <f t="shared" si="58"/>
        <v>0</v>
      </c>
      <c r="AI215" s="37"/>
      <c r="AJ215" s="22">
        <f t="shared" si="59"/>
        <v>0</v>
      </c>
      <c r="AK215" s="22">
        <f t="shared" si="60"/>
        <v>0</v>
      </c>
      <c r="AL215" s="22">
        <f t="shared" si="61"/>
        <v>0</v>
      </c>
      <c r="AN215" s="38">
        <v>12</v>
      </c>
      <c r="AO215" s="38">
        <f t="shared" si="62"/>
        <v>0</v>
      </c>
      <c r="AP215" s="38">
        <f t="shared" si="63"/>
        <v>0</v>
      </c>
      <c r="AQ215" s="40" t="s">
        <v>153</v>
      </c>
      <c r="AV215" s="38">
        <f t="shared" si="64"/>
        <v>0</v>
      </c>
      <c r="AW215" s="38">
        <f t="shared" si="65"/>
        <v>0</v>
      </c>
      <c r="AX215" s="38">
        <f t="shared" si="66"/>
        <v>0</v>
      </c>
      <c r="AY215" s="41" t="s">
        <v>605</v>
      </c>
      <c r="AZ215" s="41" t="s">
        <v>615</v>
      </c>
      <c r="BA215" s="37" t="s">
        <v>616</v>
      </c>
      <c r="BC215" s="38">
        <f t="shared" si="67"/>
        <v>0</v>
      </c>
      <c r="BD215" s="38">
        <f t="shared" si="68"/>
        <v>0</v>
      </c>
      <c r="BE215" s="38">
        <v>0</v>
      </c>
      <c r="BF215" s="38">
        <f>215</f>
        <v>215</v>
      </c>
      <c r="BH215" s="22">
        <f t="shared" si="69"/>
        <v>0</v>
      </c>
      <c r="BI215" s="22">
        <f t="shared" si="70"/>
        <v>0</v>
      </c>
      <c r="BJ215" s="22">
        <f t="shared" si="71"/>
        <v>0</v>
      </c>
      <c r="BK215" s="22" t="s">
        <v>622</v>
      </c>
      <c r="BL215" s="38"/>
    </row>
    <row r="216" spans="1:64" x14ac:dyDescent="0.2">
      <c r="A216" s="7" t="s">
        <v>137</v>
      </c>
      <c r="B216" s="16" t="s">
        <v>297</v>
      </c>
      <c r="C216" s="156" t="s">
        <v>517</v>
      </c>
      <c r="D216" s="157"/>
      <c r="E216" s="157"/>
      <c r="F216" s="157"/>
      <c r="G216" s="16" t="s">
        <v>540</v>
      </c>
      <c r="H216" s="22">
        <v>1</v>
      </c>
      <c r="I216" s="28">
        <v>0</v>
      </c>
      <c r="J216" s="22">
        <f t="shared" si="48"/>
        <v>0</v>
      </c>
      <c r="K216" s="22">
        <f t="shared" si="49"/>
        <v>0</v>
      </c>
      <c r="L216" s="22">
        <f t="shared" si="50"/>
        <v>0</v>
      </c>
      <c r="M216" s="102" t="s">
        <v>763</v>
      </c>
      <c r="N216" s="5"/>
      <c r="Z216" s="38">
        <f t="shared" si="51"/>
        <v>0</v>
      </c>
      <c r="AB216" s="38">
        <f t="shared" si="52"/>
        <v>0</v>
      </c>
      <c r="AC216" s="38">
        <f t="shared" si="53"/>
        <v>0</v>
      </c>
      <c r="AD216" s="38">
        <f t="shared" si="54"/>
        <v>0</v>
      </c>
      <c r="AE216" s="38">
        <f t="shared" si="55"/>
        <v>0</v>
      </c>
      <c r="AF216" s="38">
        <f t="shared" si="56"/>
        <v>0</v>
      </c>
      <c r="AG216" s="38">
        <f t="shared" si="57"/>
        <v>0</v>
      </c>
      <c r="AH216" s="38">
        <f t="shared" si="58"/>
        <v>0</v>
      </c>
      <c r="AI216" s="37"/>
      <c r="AJ216" s="22">
        <f t="shared" si="59"/>
        <v>0</v>
      </c>
      <c r="AK216" s="22">
        <f t="shared" si="60"/>
        <v>0</v>
      </c>
      <c r="AL216" s="22">
        <f t="shared" si="61"/>
        <v>0</v>
      </c>
      <c r="AN216" s="38">
        <v>12</v>
      </c>
      <c r="AO216" s="38">
        <f t="shared" si="62"/>
        <v>0</v>
      </c>
      <c r="AP216" s="38">
        <f t="shared" si="63"/>
        <v>0</v>
      </c>
      <c r="AQ216" s="40" t="s">
        <v>153</v>
      </c>
      <c r="AV216" s="38">
        <f t="shared" si="64"/>
        <v>0</v>
      </c>
      <c r="AW216" s="38">
        <f t="shared" si="65"/>
        <v>0</v>
      </c>
      <c r="AX216" s="38">
        <f t="shared" si="66"/>
        <v>0</v>
      </c>
      <c r="AY216" s="41" t="s">
        <v>605</v>
      </c>
      <c r="AZ216" s="41" t="s">
        <v>615</v>
      </c>
      <c r="BA216" s="37" t="s">
        <v>616</v>
      </c>
      <c r="BC216" s="38">
        <f t="shared" si="67"/>
        <v>0</v>
      </c>
      <c r="BD216" s="38">
        <f t="shared" si="68"/>
        <v>0</v>
      </c>
      <c r="BE216" s="38">
        <v>0</v>
      </c>
      <c r="BF216" s="38">
        <f>216</f>
        <v>216</v>
      </c>
      <c r="BH216" s="22">
        <f t="shared" si="69"/>
        <v>0</v>
      </c>
      <c r="BI216" s="22">
        <f t="shared" si="70"/>
        <v>0</v>
      </c>
      <c r="BJ216" s="22">
        <f t="shared" si="71"/>
        <v>0</v>
      </c>
      <c r="BK216" s="22" t="s">
        <v>622</v>
      </c>
      <c r="BL216" s="38"/>
    </row>
    <row r="217" spans="1:64" x14ac:dyDescent="0.2">
      <c r="A217" s="7" t="s">
        <v>138</v>
      </c>
      <c r="B217" s="16" t="s">
        <v>298</v>
      </c>
      <c r="C217" s="156" t="s">
        <v>518</v>
      </c>
      <c r="D217" s="157"/>
      <c r="E217" s="157"/>
      <c r="F217" s="157"/>
      <c r="G217" s="16" t="s">
        <v>540</v>
      </c>
      <c r="H217" s="22">
        <v>1</v>
      </c>
      <c r="I217" s="28">
        <v>0</v>
      </c>
      <c r="J217" s="22">
        <f t="shared" si="48"/>
        <v>0</v>
      </c>
      <c r="K217" s="22">
        <f t="shared" si="49"/>
        <v>0</v>
      </c>
      <c r="L217" s="22">
        <f t="shared" si="50"/>
        <v>0</v>
      </c>
      <c r="M217" s="102" t="s">
        <v>763</v>
      </c>
      <c r="N217" s="5"/>
      <c r="Z217" s="38">
        <f t="shared" si="51"/>
        <v>0</v>
      </c>
      <c r="AB217" s="38">
        <f t="shared" si="52"/>
        <v>0</v>
      </c>
      <c r="AC217" s="38">
        <f t="shared" si="53"/>
        <v>0</v>
      </c>
      <c r="AD217" s="38">
        <f t="shared" si="54"/>
        <v>0</v>
      </c>
      <c r="AE217" s="38">
        <f t="shared" si="55"/>
        <v>0</v>
      </c>
      <c r="AF217" s="38">
        <f t="shared" si="56"/>
        <v>0</v>
      </c>
      <c r="AG217" s="38">
        <f t="shared" si="57"/>
        <v>0</v>
      </c>
      <c r="AH217" s="38">
        <f t="shared" si="58"/>
        <v>0</v>
      </c>
      <c r="AI217" s="37"/>
      <c r="AJ217" s="22">
        <f t="shared" si="59"/>
        <v>0</v>
      </c>
      <c r="AK217" s="22">
        <f t="shared" si="60"/>
        <v>0</v>
      </c>
      <c r="AL217" s="22">
        <f t="shared" si="61"/>
        <v>0</v>
      </c>
      <c r="AN217" s="38">
        <v>12</v>
      </c>
      <c r="AO217" s="38">
        <f t="shared" si="62"/>
        <v>0</v>
      </c>
      <c r="AP217" s="38">
        <f t="shared" si="63"/>
        <v>0</v>
      </c>
      <c r="AQ217" s="40" t="s">
        <v>153</v>
      </c>
      <c r="AV217" s="38">
        <f t="shared" si="64"/>
        <v>0</v>
      </c>
      <c r="AW217" s="38">
        <f t="shared" si="65"/>
        <v>0</v>
      </c>
      <c r="AX217" s="38">
        <f t="shared" si="66"/>
        <v>0</v>
      </c>
      <c r="AY217" s="41" t="s">
        <v>605</v>
      </c>
      <c r="AZ217" s="41" t="s">
        <v>615</v>
      </c>
      <c r="BA217" s="37" t="s">
        <v>616</v>
      </c>
      <c r="BC217" s="38">
        <f t="shared" si="67"/>
        <v>0</v>
      </c>
      <c r="BD217" s="38">
        <f t="shared" si="68"/>
        <v>0</v>
      </c>
      <c r="BE217" s="38">
        <v>0</v>
      </c>
      <c r="BF217" s="38">
        <f>217</f>
        <v>217</v>
      </c>
      <c r="BH217" s="22">
        <f t="shared" si="69"/>
        <v>0</v>
      </c>
      <c r="BI217" s="22">
        <f t="shared" si="70"/>
        <v>0</v>
      </c>
      <c r="BJ217" s="22">
        <f t="shared" si="71"/>
        <v>0</v>
      </c>
      <c r="BK217" s="22" t="s">
        <v>622</v>
      </c>
      <c r="BL217" s="38"/>
    </row>
    <row r="218" spans="1:64" x14ac:dyDescent="0.2">
      <c r="A218" s="7" t="s">
        <v>139</v>
      </c>
      <c r="B218" s="16" t="s">
        <v>299</v>
      </c>
      <c r="C218" s="156" t="s">
        <v>519</v>
      </c>
      <c r="D218" s="157"/>
      <c r="E218" s="157"/>
      <c r="F218" s="157"/>
      <c r="G218" s="16" t="s">
        <v>540</v>
      </c>
      <c r="H218" s="22">
        <v>1</v>
      </c>
      <c r="I218" s="28">
        <v>0</v>
      </c>
      <c r="J218" s="22">
        <f t="shared" si="48"/>
        <v>0</v>
      </c>
      <c r="K218" s="22">
        <f t="shared" si="49"/>
        <v>0</v>
      </c>
      <c r="L218" s="22">
        <f t="shared" si="50"/>
        <v>0</v>
      </c>
      <c r="M218" s="102" t="s">
        <v>763</v>
      </c>
      <c r="N218" s="5"/>
      <c r="Z218" s="38">
        <f t="shared" si="51"/>
        <v>0</v>
      </c>
      <c r="AB218" s="38">
        <f t="shared" si="52"/>
        <v>0</v>
      </c>
      <c r="AC218" s="38">
        <f t="shared" si="53"/>
        <v>0</v>
      </c>
      <c r="AD218" s="38">
        <f t="shared" si="54"/>
        <v>0</v>
      </c>
      <c r="AE218" s="38">
        <f t="shared" si="55"/>
        <v>0</v>
      </c>
      <c r="AF218" s="38">
        <f t="shared" si="56"/>
        <v>0</v>
      </c>
      <c r="AG218" s="38">
        <f t="shared" si="57"/>
        <v>0</v>
      </c>
      <c r="AH218" s="38">
        <f t="shared" si="58"/>
        <v>0</v>
      </c>
      <c r="AI218" s="37"/>
      <c r="AJ218" s="22">
        <f t="shared" si="59"/>
        <v>0</v>
      </c>
      <c r="AK218" s="22">
        <f t="shared" si="60"/>
        <v>0</v>
      </c>
      <c r="AL218" s="22">
        <f t="shared" si="61"/>
        <v>0</v>
      </c>
      <c r="AN218" s="38">
        <v>12</v>
      </c>
      <c r="AO218" s="38">
        <f t="shared" si="62"/>
        <v>0</v>
      </c>
      <c r="AP218" s="38">
        <f t="shared" si="63"/>
        <v>0</v>
      </c>
      <c r="AQ218" s="40" t="s">
        <v>153</v>
      </c>
      <c r="AV218" s="38">
        <f t="shared" si="64"/>
        <v>0</v>
      </c>
      <c r="AW218" s="38">
        <f t="shared" si="65"/>
        <v>0</v>
      </c>
      <c r="AX218" s="38">
        <f t="shared" si="66"/>
        <v>0</v>
      </c>
      <c r="AY218" s="41" t="s">
        <v>605</v>
      </c>
      <c r="AZ218" s="41" t="s">
        <v>615</v>
      </c>
      <c r="BA218" s="37" t="s">
        <v>616</v>
      </c>
      <c r="BC218" s="38">
        <f t="shared" si="67"/>
        <v>0</v>
      </c>
      <c r="BD218" s="38">
        <f t="shared" si="68"/>
        <v>0</v>
      </c>
      <c r="BE218" s="38">
        <v>0</v>
      </c>
      <c r="BF218" s="38">
        <f>218</f>
        <v>218</v>
      </c>
      <c r="BH218" s="22">
        <f t="shared" si="69"/>
        <v>0</v>
      </c>
      <c r="BI218" s="22">
        <f t="shared" si="70"/>
        <v>0</v>
      </c>
      <c r="BJ218" s="22">
        <f t="shared" si="71"/>
        <v>0</v>
      </c>
      <c r="BK218" s="22" t="s">
        <v>622</v>
      </c>
      <c r="BL218" s="38"/>
    </row>
    <row r="219" spans="1:64" x14ac:dyDescent="0.2">
      <c r="A219" s="7" t="s">
        <v>140</v>
      </c>
      <c r="B219" s="16" t="s">
        <v>300</v>
      </c>
      <c r="C219" s="156" t="s">
        <v>520</v>
      </c>
      <c r="D219" s="157"/>
      <c r="E219" s="157"/>
      <c r="F219" s="157"/>
      <c r="G219" s="16" t="s">
        <v>540</v>
      </c>
      <c r="H219" s="22">
        <v>2</v>
      </c>
      <c r="I219" s="28">
        <v>0</v>
      </c>
      <c r="J219" s="22">
        <f t="shared" si="48"/>
        <v>0</v>
      </c>
      <c r="K219" s="22">
        <f t="shared" si="49"/>
        <v>0</v>
      </c>
      <c r="L219" s="22">
        <f t="shared" si="50"/>
        <v>0</v>
      </c>
      <c r="M219" s="102" t="s">
        <v>763</v>
      </c>
      <c r="N219" s="5"/>
      <c r="Z219" s="38">
        <f t="shared" si="51"/>
        <v>0</v>
      </c>
      <c r="AB219" s="38">
        <f t="shared" si="52"/>
        <v>0</v>
      </c>
      <c r="AC219" s="38">
        <f t="shared" si="53"/>
        <v>0</v>
      </c>
      <c r="AD219" s="38">
        <f t="shared" si="54"/>
        <v>0</v>
      </c>
      <c r="AE219" s="38">
        <f t="shared" si="55"/>
        <v>0</v>
      </c>
      <c r="AF219" s="38">
        <f t="shared" si="56"/>
        <v>0</v>
      </c>
      <c r="AG219" s="38">
        <f t="shared" si="57"/>
        <v>0</v>
      </c>
      <c r="AH219" s="38">
        <f t="shared" si="58"/>
        <v>0</v>
      </c>
      <c r="AI219" s="37"/>
      <c r="AJ219" s="22">
        <f t="shared" si="59"/>
        <v>0</v>
      </c>
      <c r="AK219" s="22">
        <f t="shared" si="60"/>
        <v>0</v>
      </c>
      <c r="AL219" s="22">
        <f t="shared" si="61"/>
        <v>0</v>
      </c>
      <c r="AN219" s="38">
        <v>12</v>
      </c>
      <c r="AO219" s="38">
        <f t="shared" si="62"/>
        <v>0</v>
      </c>
      <c r="AP219" s="38">
        <f t="shared" si="63"/>
        <v>0</v>
      </c>
      <c r="AQ219" s="40" t="s">
        <v>153</v>
      </c>
      <c r="AV219" s="38">
        <f t="shared" si="64"/>
        <v>0</v>
      </c>
      <c r="AW219" s="38">
        <f t="shared" si="65"/>
        <v>0</v>
      </c>
      <c r="AX219" s="38">
        <f t="shared" si="66"/>
        <v>0</v>
      </c>
      <c r="AY219" s="41" t="s">
        <v>605</v>
      </c>
      <c r="AZ219" s="41" t="s">
        <v>615</v>
      </c>
      <c r="BA219" s="37" t="s">
        <v>616</v>
      </c>
      <c r="BC219" s="38">
        <f t="shared" si="67"/>
        <v>0</v>
      </c>
      <c r="BD219" s="38">
        <f t="shared" si="68"/>
        <v>0</v>
      </c>
      <c r="BE219" s="38">
        <v>0</v>
      </c>
      <c r="BF219" s="38">
        <f>219</f>
        <v>219</v>
      </c>
      <c r="BH219" s="22">
        <f t="shared" si="69"/>
        <v>0</v>
      </c>
      <c r="BI219" s="22">
        <f t="shared" si="70"/>
        <v>0</v>
      </c>
      <c r="BJ219" s="22">
        <f t="shared" si="71"/>
        <v>0</v>
      </c>
      <c r="BK219" s="22" t="s">
        <v>622</v>
      </c>
      <c r="BL219" s="38"/>
    </row>
    <row r="220" spans="1:64" x14ac:dyDescent="0.2">
      <c r="A220" s="7" t="s">
        <v>141</v>
      </c>
      <c r="B220" s="16" t="s">
        <v>301</v>
      </c>
      <c r="C220" s="156" t="s">
        <v>521</v>
      </c>
      <c r="D220" s="157"/>
      <c r="E220" s="157"/>
      <c r="F220" s="157"/>
      <c r="G220" s="16" t="s">
        <v>540</v>
      </c>
      <c r="H220" s="22">
        <v>4</v>
      </c>
      <c r="I220" s="28">
        <v>0</v>
      </c>
      <c r="J220" s="22">
        <f t="shared" si="48"/>
        <v>0</v>
      </c>
      <c r="K220" s="22">
        <f t="shared" si="49"/>
        <v>0</v>
      </c>
      <c r="L220" s="22">
        <f t="shared" si="50"/>
        <v>0</v>
      </c>
      <c r="M220" s="102" t="s">
        <v>763</v>
      </c>
      <c r="N220" s="5"/>
      <c r="Z220" s="38">
        <f t="shared" si="51"/>
        <v>0</v>
      </c>
      <c r="AB220" s="38">
        <f t="shared" si="52"/>
        <v>0</v>
      </c>
      <c r="AC220" s="38">
        <f t="shared" si="53"/>
        <v>0</v>
      </c>
      <c r="AD220" s="38">
        <f t="shared" si="54"/>
        <v>0</v>
      </c>
      <c r="AE220" s="38">
        <f t="shared" si="55"/>
        <v>0</v>
      </c>
      <c r="AF220" s="38">
        <f t="shared" si="56"/>
        <v>0</v>
      </c>
      <c r="AG220" s="38">
        <f t="shared" si="57"/>
        <v>0</v>
      </c>
      <c r="AH220" s="38">
        <f t="shared" si="58"/>
        <v>0</v>
      </c>
      <c r="AI220" s="37"/>
      <c r="AJ220" s="22">
        <f t="shared" si="59"/>
        <v>0</v>
      </c>
      <c r="AK220" s="22">
        <f t="shared" si="60"/>
        <v>0</v>
      </c>
      <c r="AL220" s="22">
        <f t="shared" si="61"/>
        <v>0</v>
      </c>
      <c r="AN220" s="38">
        <v>12</v>
      </c>
      <c r="AO220" s="38">
        <f t="shared" si="62"/>
        <v>0</v>
      </c>
      <c r="AP220" s="38">
        <f t="shared" si="63"/>
        <v>0</v>
      </c>
      <c r="AQ220" s="40" t="s">
        <v>153</v>
      </c>
      <c r="AV220" s="38">
        <f t="shared" si="64"/>
        <v>0</v>
      </c>
      <c r="AW220" s="38">
        <f t="shared" si="65"/>
        <v>0</v>
      </c>
      <c r="AX220" s="38">
        <f t="shared" si="66"/>
        <v>0</v>
      </c>
      <c r="AY220" s="41" t="s">
        <v>605</v>
      </c>
      <c r="AZ220" s="41" t="s">
        <v>615</v>
      </c>
      <c r="BA220" s="37" t="s">
        <v>616</v>
      </c>
      <c r="BC220" s="38">
        <f t="shared" si="67"/>
        <v>0</v>
      </c>
      <c r="BD220" s="38">
        <f t="shared" si="68"/>
        <v>0</v>
      </c>
      <c r="BE220" s="38">
        <v>0</v>
      </c>
      <c r="BF220" s="38">
        <f>220</f>
        <v>220</v>
      </c>
      <c r="BH220" s="22">
        <f t="shared" si="69"/>
        <v>0</v>
      </c>
      <c r="BI220" s="22">
        <f t="shared" si="70"/>
        <v>0</v>
      </c>
      <c r="BJ220" s="22">
        <f t="shared" si="71"/>
        <v>0</v>
      </c>
      <c r="BK220" s="22" t="s">
        <v>622</v>
      </c>
      <c r="BL220" s="38"/>
    </row>
    <row r="221" spans="1:64" x14ac:dyDescent="0.2">
      <c r="A221" s="7" t="s">
        <v>142</v>
      </c>
      <c r="B221" s="16" t="s">
        <v>302</v>
      </c>
      <c r="C221" s="156" t="s">
        <v>522</v>
      </c>
      <c r="D221" s="157"/>
      <c r="E221" s="157"/>
      <c r="F221" s="157"/>
      <c r="G221" s="16" t="s">
        <v>540</v>
      </c>
      <c r="H221" s="22">
        <v>2</v>
      </c>
      <c r="I221" s="28">
        <v>0</v>
      </c>
      <c r="J221" s="22">
        <f t="shared" si="48"/>
        <v>0</v>
      </c>
      <c r="K221" s="22">
        <f t="shared" si="49"/>
        <v>0</v>
      </c>
      <c r="L221" s="22">
        <f t="shared" si="50"/>
        <v>0</v>
      </c>
      <c r="M221" s="102" t="s">
        <v>763</v>
      </c>
      <c r="N221" s="5"/>
      <c r="Z221" s="38">
        <f t="shared" si="51"/>
        <v>0</v>
      </c>
      <c r="AB221" s="38">
        <f t="shared" si="52"/>
        <v>0</v>
      </c>
      <c r="AC221" s="38">
        <f t="shared" si="53"/>
        <v>0</v>
      </c>
      <c r="AD221" s="38">
        <f t="shared" si="54"/>
        <v>0</v>
      </c>
      <c r="AE221" s="38">
        <f t="shared" si="55"/>
        <v>0</v>
      </c>
      <c r="AF221" s="38">
        <f t="shared" si="56"/>
        <v>0</v>
      </c>
      <c r="AG221" s="38">
        <f t="shared" si="57"/>
        <v>0</v>
      </c>
      <c r="AH221" s="38">
        <f t="shared" si="58"/>
        <v>0</v>
      </c>
      <c r="AI221" s="37"/>
      <c r="AJ221" s="22">
        <f t="shared" si="59"/>
        <v>0</v>
      </c>
      <c r="AK221" s="22">
        <f t="shared" si="60"/>
        <v>0</v>
      </c>
      <c r="AL221" s="22">
        <f t="shared" si="61"/>
        <v>0</v>
      </c>
      <c r="AN221" s="38">
        <v>12</v>
      </c>
      <c r="AO221" s="38">
        <f t="shared" si="62"/>
        <v>0</v>
      </c>
      <c r="AP221" s="38">
        <f t="shared" si="63"/>
        <v>0</v>
      </c>
      <c r="AQ221" s="40" t="s">
        <v>153</v>
      </c>
      <c r="AV221" s="38">
        <f t="shared" si="64"/>
        <v>0</v>
      </c>
      <c r="AW221" s="38">
        <f t="shared" si="65"/>
        <v>0</v>
      </c>
      <c r="AX221" s="38">
        <f t="shared" si="66"/>
        <v>0</v>
      </c>
      <c r="AY221" s="41" t="s">
        <v>605</v>
      </c>
      <c r="AZ221" s="41" t="s">
        <v>615</v>
      </c>
      <c r="BA221" s="37" t="s">
        <v>616</v>
      </c>
      <c r="BC221" s="38">
        <f t="shared" si="67"/>
        <v>0</v>
      </c>
      <c r="BD221" s="38">
        <f t="shared" si="68"/>
        <v>0</v>
      </c>
      <c r="BE221" s="38">
        <v>0</v>
      </c>
      <c r="BF221" s="38">
        <f>221</f>
        <v>221</v>
      </c>
      <c r="BH221" s="22">
        <f t="shared" si="69"/>
        <v>0</v>
      </c>
      <c r="BI221" s="22">
        <f t="shared" si="70"/>
        <v>0</v>
      </c>
      <c r="BJ221" s="22">
        <f t="shared" si="71"/>
        <v>0</v>
      </c>
      <c r="BK221" s="22" t="s">
        <v>622</v>
      </c>
      <c r="BL221" s="38"/>
    </row>
    <row r="222" spans="1:64" x14ac:dyDescent="0.2">
      <c r="A222" s="7" t="s">
        <v>143</v>
      </c>
      <c r="B222" s="16" t="s">
        <v>303</v>
      </c>
      <c r="C222" s="156" t="s">
        <v>523</v>
      </c>
      <c r="D222" s="157"/>
      <c r="E222" s="157"/>
      <c r="F222" s="157"/>
      <c r="G222" s="16" t="s">
        <v>540</v>
      </c>
      <c r="H222" s="22">
        <v>2</v>
      </c>
      <c r="I222" s="28">
        <v>0</v>
      </c>
      <c r="J222" s="22">
        <f t="shared" si="48"/>
        <v>0</v>
      </c>
      <c r="K222" s="22">
        <f t="shared" si="49"/>
        <v>0</v>
      </c>
      <c r="L222" s="22">
        <f t="shared" si="50"/>
        <v>0</v>
      </c>
      <c r="M222" s="102" t="s">
        <v>763</v>
      </c>
      <c r="N222" s="5"/>
      <c r="Z222" s="38">
        <f t="shared" si="51"/>
        <v>0</v>
      </c>
      <c r="AB222" s="38">
        <f t="shared" si="52"/>
        <v>0</v>
      </c>
      <c r="AC222" s="38">
        <f t="shared" si="53"/>
        <v>0</v>
      </c>
      <c r="AD222" s="38">
        <f t="shared" si="54"/>
        <v>0</v>
      </c>
      <c r="AE222" s="38">
        <f t="shared" si="55"/>
        <v>0</v>
      </c>
      <c r="AF222" s="38">
        <f t="shared" si="56"/>
        <v>0</v>
      </c>
      <c r="AG222" s="38">
        <f t="shared" si="57"/>
        <v>0</v>
      </c>
      <c r="AH222" s="38">
        <f t="shared" si="58"/>
        <v>0</v>
      </c>
      <c r="AI222" s="37"/>
      <c r="AJ222" s="22">
        <f t="shared" si="59"/>
        <v>0</v>
      </c>
      <c r="AK222" s="22">
        <f t="shared" si="60"/>
        <v>0</v>
      </c>
      <c r="AL222" s="22">
        <f t="shared" si="61"/>
        <v>0</v>
      </c>
      <c r="AN222" s="38">
        <v>12</v>
      </c>
      <c r="AO222" s="38">
        <f t="shared" si="62"/>
        <v>0</v>
      </c>
      <c r="AP222" s="38">
        <f t="shared" si="63"/>
        <v>0</v>
      </c>
      <c r="AQ222" s="40" t="s">
        <v>153</v>
      </c>
      <c r="AV222" s="38">
        <f t="shared" si="64"/>
        <v>0</v>
      </c>
      <c r="AW222" s="38">
        <f t="shared" si="65"/>
        <v>0</v>
      </c>
      <c r="AX222" s="38">
        <f t="shared" si="66"/>
        <v>0</v>
      </c>
      <c r="AY222" s="41" t="s">
        <v>605</v>
      </c>
      <c r="AZ222" s="41" t="s">
        <v>615</v>
      </c>
      <c r="BA222" s="37" t="s">
        <v>616</v>
      </c>
      <c r="BC222" s="38">
        <f t="shared" si="67"/>
        <v>0</v>
      </c>
      <c r="BD222" s="38">
        <f t="shared" si="68"/>
        <v>0</v>
      </c>
      <c r="BE222" s="38">
        <v>0</v>
      </c>
      <c r="BF222" s="38">
        <f>222</f>
        <v>222</v>
      </c>
      <c r="BH222" s="22">
        <f t="shared" si="69"/>
        <v>0</v>
      </c>
      <c r="BI222" s="22">
        <f t="shared" si="70"/>
        <v>0</v>
      </c>
      <c r="BJ222" s="22">
        <f t="shared" si="71"/>
        <v>0</v>
      </c>
      <c r="BK222" s="22" t="s">
        <v>622</v>
      </c>
      <c r="BL222" s="38"/>
    </row>
    <row r="223" spans="1:64" x14ac:dyDescent="0.2">
      <c r="A223" s="7" t="s">
        <v>144</v>
      </c>
      <c r="B223" s="16" t="s">
        <v>304</v>
      </c>
      <c r="C223" s="156" t="s">
        <v>524</v>
      </c>
      <c r="D223" s="157"/>
      <c r="E223" s="157"/>
      <c r="F223" s="157"/>
      <c r="G223" s="16" t="s">
        <v>540</v>
      </c>
      <c r="H223" s="22">
        <v>1</v>
      </c>
      <c r="I223" s="28">
        <v>0</v>
      </c>
      <c r="J223" s="22">
        <f t="shared" si="48"/>
        <v>0</v>
      </c>
      <c r="K223" s="22">
        <f t="shared" si="49"/>
        <v>0</v>
      </c>
      <c r="L223" s="22">
        <f t="shared" si="50"/>
        <v>0</v>
      </c>
      <c r="M223" s="102" t="s">
        <v>763</v>
      </c>
      <c r="N223" s="5"/>
      <c r="Z223" s="38">
        <f t="shared" si="51"/>
        <v>0</v>
      </c>
      <c r="AB223" s="38">
        <f t="shared" si="52"/>
        <v>0</v>
      </c>
      <c r="AC223" s="38">
        <f t="shared" si="53"/>
        <v>0</v>
      </c>
      <c r="AD223" s="38">
        <f t="shared" si="54"/>
        <v>0</v>
      </c>
      <c r="AE223" s="38">
        <f t="shared" si="55"/>
        <v>0</v>
      </c>
      <c r="AF223" s="38">
        <f t="shared" si="56"/>
        <v>0</v>
      </c>
      <c r="AG223" s="38">
        <f t="shared" si="57"/>
        <v>0</v>
      </c>
      <c r="AH223" s="38">
        <f t="shared" si="58"/>
        <v>0</v>
      </c>
      <c r="AI223" s="37"/>
      <c r="AJ223" s="22">
        <f t="shared" si="59"/>
        <v>0</v>
      </c>
      <c r="AK223" s="22">
        <f t="shared" si="60"/>
        <v>0</v>
      </c>
      <c r="AL223" s="22">
        <f t="shared" si="61"/>
        <v>0</v>
      </c>
      <c r="AN223" s="38">
        <v>12</v>
      </c>
      <c r="AO223" s="38">
        <f t="shared" si="62"/>
        <v>0</v>
      </c>
      <c r="AP223" s="38">
        <f t="shared" si="63"/>
        <v>0</v>
      </c>
      <c r="AQ223" s="40" t="s">
        <v>153</v>
      </c>
      <c r="AV223" s="38">
        <f t="shared" si="64"/>
        <v>0</v>
      </c>
      <c r="AW223" s="38">
        <f t="shared" si="65"/>
        <v>0</v>
      </c>
      <c r="AX223" s="38">
        <f t="shared" si="66"/>
        <v>0</v>
      </c>
      <c r="AY223" s="41" t="s">
        <v>605</v>
      </c>
      <c r="AZ223" s="41" t="s">
        <v>615</v>
      </c>
      <c r="BA223" s="37" t="s">
        <v>616</v>
      </c>
      <c r="BC223" s="38">
        <f t="shared" si="67"/>
        <v>0</v>
      </c>
      <c r="BD223" s="38">
        <f t="shared" si="68"/>
        <v>0</v>
      </c>
      <c r="BE223" s="38">
        <v>0</v>
      </c>
      <c r="BF223" s="38">
        <f>223</f>
        <v>223</v>
      </c>
      <c r="BH223" s="22">
        <f t="shared" si="69"/>
        <v>0</v>
      </c>
      <c r="BI223" s="22">
        <f t="shared" si="70"/>
        <v>0</v>
      </c>
      <c r="BJ223" s="22">
        <f t="shared" si="71"/>
        <v>0</v>
      </c>
      <c r="BK223" s="22" t="s">
        <v>622</v>
      </c>
      <c r="BL223" s="38"/>
    </row>
    <row r="224" spans="1:64" x14ac:dyDescent="0.2">
      <c r="A224" s="7" t="s">
        <v>145</v>
      </c>
      <c r="B224" s="16" t="s">
        <v>305</v>
      </c>
      <c r="C224" s="156" t="s">
        <v>525</v>
      </c>
      <c r="D224" s="157"/>
      <c r="E224" s="157"/>
      <c r="F224" s="157"/>
      <c r="G224" s="16" t="s">
        <v>540</v>
      </c>
      <c r="H224" s="22">
        <v>2</v>
      </c>
      <c r="I224" s="28">
        <v>0</v>
      </c>
      <c r="J224" s="22">
        <f t="shared" si="48"/>
        <v>0</v>
      </c>
      <c r="K224" s="22">
        <f t="shared" si="49"/>
        <v>0</v>
      </c>
      <c r="L224" s="22">
        <f t="shared" si="50"/>
        <v>0</v>
      </c>
      <c r="M224" s="102" t="s">
        <v>763</v>
      </c>
      <c r="N224" s="5"/>
      <c r="Z224" s="38">
        <f t="shared" si="51"/>
        <v>0</v>
      </c>
      <c r="AB224" s="38">
        <f t="shared" si="52"/>
        <v>0</v>
      </c>
      <c r="AC224" s="38">
        <f t="shared" si="53"/>
        <v>0</v>
      </c>
      <c r="AD224" s="38">
        <f t="shared" si="54"/>
        <v>0</v>
      </c>
      <c r="AE224" s="38">
        <f t="shared" si="55"/>
        <v>0</v>
      </c>
      <c r="AF224" s="38">
        <f t="shared" si="56"/>
        <v>0</v>
      </c>
      <c r="AG224" s="38">
        <f t="shared" si="57"/>
        <v>0</v>
      </c>
      <c r="AH224" s="38">
        <f t="shared" si="58"/>
        <v>0</v>
      </c>
      <c r="AI224" s="37"/>
      <c r="AJ224" s="22">
        <f t="shared" si="59"/>
        <v>0</v>
      </c>
      <c r="AK224" s="22">
        <f t="shared" si="60"/>
        <v>0</v>
      </c>
      <c r="AL224" s="22">
        <f t="shared" si="61"/>
        <v>0</v>
      </c>
      <c r="AN224" s="38">
        <v>12</v>
      </c>
      <c r="AO224" s="38">
        <f t="shared" si="62"/>
        <v>0</v>
      </c>
      <c r="AP224" s="38">
        <f t="shared" si="63"/>
        <v>0</v>
      </c>
      <c r="AQ224" s="40" t="s">
        <v>153</v>
      </c>
      <c r="AV224" s="38">
        <f t="shared" si="64"/>
        <v>0</v>
      </c>
      <c r="AW224" s="38">
        <f t="shared" si="65"/>
        <v>0</v>
      </c>
      <c r="AX224" s="38">
        <f t="shared" si="66"/>
        <v>0</v>
      </c>
      <c r="AY224" s="41" t="s">
        <v>605</v>
      </c>
      <c r="AZ224" s="41" t="s">
        <v>615</v>
      </c>
      <c r="BA224" s="37" t="s">
        <v>616</v>
      </c>
      <c r="BC224" s="38">
        <f t="shared" si="67"/>
        <v>0</v>
      </c>
      <c r="BD224" s="38">
        <f t="shared" si="68"/>
        <v>0</v>
      </c>
      <c r="BE224" s="38">
        <v>0</v>
      </c>
      <c r="BF224" s="38">
        <f>224</f>
        <v>224</v>
      </c>
      <c r="BH224" s="22">
        <f t="shared" si="69"/>
        <v>0</v>
      </c>
      <c r="BI224" s="22">
        <f t="shared" si="70"/>
        <v>0</v>
      </c>
      <c r="BJ224" s="22">
        <f t="shared" si="71"/>
        <v>0</v>
      </c>
      <c r="BK224" s="22" t="s">
        <v>622</v>
      </c>
      <c r="BL224" s="38"/>
    </row>
    <row r="225" spans="1:64" x14ac:dyDescent="0.2">
      <c r="A225" s="7" t="s">
        <v>146</v>
      </c>
      <c r="B225" s="16" t="s">
        <v>306</v>
      </c>
      <c r="C225" s="156" t="s">
        <v>526</v>
      </c>
      <c r="D225" s="157"/>
      <c r="E225" s="157"/>
      <c r="F225" s="157"/>
      <c r="G225" s="16" t="s">
        <v>540</v>
      </c>
      <c r="H225" s="22">
        <v>3</v>
      </c>
      <c r="I225" s="28">
        <v>0</v>
      </c>
      <c r="J225" s="22">
        <f t="shared" si="48"/>
        <v>0</v>
      </c>
      <c r="K225" s="22">
        <f t="shared" si="49"/>
        <v>0</v>
      </c>
      <c r="L225" s="22">
        <f t="shared" si="50"/>
        <v>0</v>
      </c>
      <c r="M225" s="102" t="s">
        <v>763</v>
      </c>
      <c r="N225" s="5"/>
      <c r="Z225" s="38">
        <f t="shared" si="51"/>
        <v>0</v>
      </c>
      <c r="AB225" s="38">
        <f t="shared" si="52"/>
        <v>0</v>
      </c>
      <c r="AC225" s="38">
        <f t="shared" si="53"/>
        <v>0</v>
      </c>
      <c r="AD225" s="38">
        <f t="shared" si="54"/>
        <v>0</v>
      </c>
      <c r="AE225" s="38">
        <f t="shared" si="55"/>
        <v>0</v>
      </c>
      <c r="AF225" s="38">
        <f t="shared" si="56"/>
        <v>0</v>
      </c>
      <c r="AG225" s="38">
        <f t="shared" si="57"/>
        <v>0</v>
      </c>
      <c r="AH225" s="38">
        <f t="shared" si="58"/>
        <v>0</v>
      </c>
      <c r="AI225" s="37"/>
      <c r="AJ225" s="22">
        <f t="shared" si="59"/>
        <v>0</v>
      </c>
      <c r="AK225" s="22">
        <f t="shared" si="60"/>
        <v>0</v>
      </c>
      <c r="AL225" s="22">
        <f t="shared" si="61"/>
        <v>0</v>
      </c>
      <c r="AN225" s="38">
        <v>12</v>
      </c>
      <c r="AO225" s="38">
        <f t="shared" si="62"/>
        <v>0</v>
      </c>
      <c r="AP225" s="38">
        <f t="shared" si="63"/>
        <v>0</v>
      </c>
      <c r="AQ225" s="40" t="s">
        <v>153</v>
      </c>
      <c r="AV225" s="38">
        <f t="shared" si="64"/>
        <v>0</v>
      </c>
      <c r="AW225" s="38">
        <f t="shared" si="65"/>
        <v>0</v>
      </c>
      <c r="AX225" s="38">
        <f t="shared" si="66"/>
        <v>0</v>
      </c>
      <c r="AY225" s="41" t="s">
        <v>605</v>
      </c>
      <c r="AZ225" s="41" t="s">
        <v>615</v>
      </c>
      <c r="BA225" s="37" t="s">
        <v>616</v>
      </c>
      <c r="BC225" s="38">
        <f t="shared" si="67"/>
        <v>0</v>
      </c>
      <c r="BD225" s="38">
        <f t="shared" si="68"/>
        <v>0</v>
      </c>
      <c r="BE225" s="38">
        <v>0</v>
      </c>
      <c r="BF225" s="38">
        <f>225</f>
        <v>225</v>
      </c>
      <c r="BH225" s="22">
        <f t="shared" si="69"/>
        <v>0</v>
      </c>
      <c r="BI225" s="22">
        <f t="shared" si="70"/>
        <v>0</v>
      </c>
      <c r="BJ225" s="22">
        <f t="shared" si="71"/>
        <v>0</v>
      </c>
      <c r="BK225" s="22" t="s">
        <v>622</v>
      </c>
      <c r="BL225" s="38"/>
    </row>
    <row r="226" spans="1:64" x14ac:dyDescent="0.2">
      <c r="A226" s="7" t="s">
        <v>147</v>
      </c>
      <c r="B226" s="16" t="s">
        <v>307</v>
      </c>
      <c r="C226" s="156" t="s">
        <v>527</v>
      </c>
      <c r="D226" s="157"/>
      <c r="E226" s="157"/>
      <c r="F226" s="157"/>
      <c r="G226" s="16" t="s">
        <v>540</v>
      </c>
      <c r="H226" s="22">
        <v>1</v>
      </c>
      <c r="I226" s="28">
        <v>0</v>
      </c>
      <c r="J226" s="22">
        <f t="shared" si="48"/>
        <v>0</v>
      </c>
      <c r="K226" s="22">
        <f t="shared" si="49"/>
        <v>0</v>
      </c>
      <c r="L226" s="22">
        <f t="shared" si="50"/>
        <v>0</v>
      </c>
      <c r="M226" s="102" t="s">
        <v>763</v>
      </c>
      <c r="N226" s="5"/>
      <c r="Z226" s="38">
        <f t="shared" si="51"/>
        <v>0</v>
      </c>
      <c r="AB226" s="38">
        <f t="shared" si="52"/>
        <v>0</v>
      </c>
      <c r="AC226" s="38">
        <f t="shared" si="53"/>
        <v>0</v>
      </c>
      <c r="AD226" s="38">
        <f t="shared" si="54"/>
        <v>0</v>
      </c>
      <c r="AE226" s="38">
        <f t="shared" si="55"/>
        <v>0</v>
      </c>
      <c r="AF226" s="38">
        <f t="shared" si="56"/>
        <v>0</v>
      </c>
      <c r="AG226" s="38">
        <f t="shared" si="57"/>
        <v>0</v>
      </c>
      <c r="AH226" s="38">
        <f t="shared" si="58"/>
        <v>0</v>
      </c>
      <c r="AI226" s="37"/>
      <c r="AJ226" s="22">
        <f t="shared" si="59"/>
        <v>0</v>
      </c>
      <c r="AK226" s="22">
        <f t="shared" si="60"/>
        <v>0</v>
      </c>
      <c r="AL226" s="22">
        <f t="shared" si="61"/>
        <v>0</v>
      </c>
      <c r="AN226" s="38">
        <v>12</v>
      </c>
      <c r="AO226" s="38">
        <f t="shared" si="62"/>
        <v>0</v>
      </c>
      <c r="AP226" s="38">
        <f t="shared" si="63"/>
        <v>0</v>
      </c>
      <c r="AQ226" s="40" t="s">
        <v>153</v>
      </c>
      <c r="AV226" s="38">
        <f t="shared" si="64"/>
        <v>0</v>
      </c>
      <c r="AW226" s="38">
        <f t="shared" si="65"/>
        <v>0</v>
      </c>
      <c r="AX226" s="38">
        <f t="shared" si="66"/>
        <v>0</v>
      </c>
      <c r="AY226" s="41" t="s">
        <v>605</v>
      </c>
      <c r="AZ226" s="41" t="s">
        <v>615</v>
      </c>
      <c r="BA226" s="37" t="s">
        <v>616</v>
      </c>
      <c r="BC226" s="38">
        <f t="shared" si="67"/>
        <v>0</v>
      </c>
      <c r="BD226" s="38">
        <f t="shared" si="68"/>
        <v>0</v>
      </c>
      <c r="BE226" s="38">
        <v>0</v>
      </c>
      <c r="BF226" s="38">
        <f>226</f>
        <v>226</v>
      </c>
      <c r="BH226" s="22">
        <f t="shared" si="69"/>
        <v>0</v>
      </c>
      <c r="BI226" s="22">
        <f t="shared" si="70"/>
        <v>0</v>
      </c>
      <c r="BJ226" s="22">
        <f t="shared" si="71"/>
        <v>0</v>
      </c>
      <c r="BK226" s="22" t="s">
        <v>622</v>
      </c>
      <c r="BL226" s="38"/>
    </row>
    <row r="227" spans="1:64" x14ac:dyDescent="0.2">
      <c r="A227" s="7" t="s">
        <v>148</v>
      </c>
      <c r="B227" s="16" t="s">
        <v>308</v>
      </c>
      <c r="C227" s="156" t="s">
        <v>528</v>
      </c>
      <c r="D227" s="157"/>
      <c r="E227" s="157"/>
      <c r="F227" s="157"/>
      <c r="G227" s="16" t="s">
        <v>540</v>
      </c>
      <c r="H227" s="22">
        <v>1</v>
      </c>
      <c r="I227" s="28">
        <v>0</v>
      </c>
      <c r="J227" s="22">
        <f t="shared" si="48"/>
        <v>0</v>
      </c>
      <c r="K227" s="22">
        <f t="shared" si="49"/>
        <v>0</v>
      </c>
      <c r="L227" s="22">
        <f t="shared" si="50"/>
        <v>0</v>
      </c>
      <c r="M227" s="102" t="s">
        <v>763</v>
      </c>
      <c r="N227" s="5"/>
      <c r="Z227" s="38">
        <f t="shared" si="51"/>
        <v>0</v>
      </c>
      <c r="AB227" s="38">
        <f t="shared" si="52"/>
        <v>0</v>
      </c>
      <c r="AC227" s="38">
        <f t="shared" si="53"/>
        <v>0</v>
      </c>
      <c r="AD227" s="38">
        <f t="shared" si="54"/>
        <v>0</v>
      </c>
      <c r="AE227" s="38">
        <f t="shared" si="55"/>
        <v>0</v>
      </c>
      <c r="AF227" s="38">
        <f t="shared" si="56"/>
        <v>0</v>
      </c>
      <c r="AG227" s="38">
        <f t="shared" si="57"/>
        <v>0</v>
      </c>
      <c r="AH227" s="38">
        <f t="shared" si="58"/>
        <v>0</v>
      </c>
      <c r="AI227" s="37"/>
      <c r="AJ227" s="22">
        <f t="shared" si="59"/>
        <v>0</v>
      </c>
      <c r="AK227" s="22">
        <f t="shared" si="60"/>
        <v>0</v>
      </c>
      <c r="AL227" s="22">
        <f t="shared" si="61"/>
        <v>0</v>
      </c>
      <c r="AN227" s="38">
        <v>12</v>
      </c>
      <c r="AO227" s="38">
        <f t="shared" si="62"/>
        <v>0</v>
      </c>
      <c r="AP227" s="38">
        <f t="shared" si="63"/>
        <v>0</v>
      </c>
      <c r="AQ227" s="40" t="s">
        <v>153</v>
      </c>
      <c r="AV227" s="38">
        <f t="shared" si="64"/>
        <v>0</v>
      </c>
      <c r="AW227" s="38">
        <f t="shared" si="65"/>
        <v>0</v>
      </c>
      <c r="AX227" s="38">
        <f t="shared" si="66"/>
        <v>0</v>
      </c>
      <c r="AY227" s="41" t="s">
        <v>605</v>
      </c>
      <c r="AZ227" s="41" t="s">
        <v>615</v>
      </c>
      <c r="BA227" s="37" t="s">
        <v>616</v>
      </c>
      <c r="BC227" s="38">
        <f t="shared" si="67"/>
        <v>0</v>
      </c>
      <c r="BD227" s="38">
        <f t="shared" si="68"/>
        <v>0</v>
      </c>
      <c r="BE227" s="38">
        <v>0</v>
      </c>
      <c r="BF227" s="38">
        <f>227</f>
        <v>227</v>
      </c>
      <c r="BH227" s="22">
        <f t="shared" si="69"/>
        <v>0</v>
      </c>
      <c r="BI227" s="22">
        <f t="shared" si="70"/>
        <v>0</v>
      </c>
      <c r="BJ227" s="22">
        <f t="shared" si="71"/>
        <v>0</v>
      </c>
      <c r="BK227" s="22" t="s">
        <v>622</v>
      </c>
      <c r="BL227" s="38"/>
    </row>
    <row r="228" spans="1:64" x14ac:dyDescent="0.2">
      <c r="A228" s="7" t="s">
        <v>149</v>
      </c>
      <c r="B228" s="16" t="s">
        <v>309</v>
      </c>
      <c r="C228" s="156" t="s">
        <v>529</v>
      </c>
      <c r="D228" s="157"/>
      <c r="E228" s="157"/>
      <c r="F228" s="157"/>
      <c r="G228" s="16" t="s">
        <v>537</v>
      </c>
      <c r="H228" s="22">
        <v>10</v>
      </c>
      <c r="I228" s="28">
        <v>0</v>
      </c>
      <c r="J228" s="22">
        <f t="shared" si="48"/>
        <v>0</v>
      </c>
      <c r="K228" s="22">
        <f t="shared" si="49"/>
        <v>0</v>
      </c>
      <c r="L228" s="22">
        <f t="shared" si="50"/>
        <v>0</v>
      </c>
      <c r="M228" s="105" t="s">
        <v>764</v>
      </c>
      <c r="N228" s="5"/>
      <c r="Z228" s="38">
        <f t="shared" si="51"/>
        <v>0</v>
      </c>
      <c r="AB228" s="38">
        <f t="shared" si="52"/>
        <v>0</v>
      </c>
      <c r="AC228" s="38">
        <f t="shared" si="53"/>
        <v>0</v>
      </c>
      <c r="AD228" s="38">
        <f t="shared" si="54"/>
        <v>0</v>
      </c>
      <c r="AE228" s="38">
        <f t="shared" si="55"/>
        <v>0</v>
      </c>
      <c r="AF228" s="38">
        <f t="shared" si="56"/>
        <v>0</v>
      </c>
      <c r="AG228" s="38">
        <f t="shared" si="57"/>
        <v>0</v>
      </c>
      <c r="AH228" s="38">
        <f t="shared" si="58"/>
        <v>0</v>
      </c>
      <c r="AI228" s="37"/>
      <c r="AJ228" s="22">
        <f t="shared" si="59"/>
        <v>0</v>
      </c>
      <c r="AK228" s="22">
        <f t="shared" si="60"/>
        <v>0</v>
      </c>
      <c r="AL228" s="22">
        <f t="shared" si="61"/>
        <v>0</v>
      </c>
      <c r="AN228" s="38">
        <v>12</v>
      </c>
      <c r="AO228" s="38">
        <f t="shared" si="62"/>
        <v>0</v>
      </c>
      <c r="AP228" s="38">
        <f t="shared" si="63"/>
        <v>0</v>
      </c>
      <c r="AQ228" s="40" t="s">
        <v>153</v>
      </c>
      <c r="AV228" s="38">
        <f t="shared" si="64"/>
        <v>0</v>
      </c>
      <c r="AW228" s="38">
        <f t="shared" si="65"/>
        <v>0</v>
      </c>
      <c r="AX228" s="38">
        <f t="shared" si="66"/>
        <v>0</v>
      </c>
      <c r="AY228" s="41" t="s">
        <v>605</v>
      </c>
      <c r="AZ228" s="41" t="s">
        <v>615</v>
      </c>
      <c r="BA228" s="37" t="s">
        <v>616</v>
      </c>
      <c r="BC228" s="38">
        <f t="shared" si="67"/>
        <v>0</v>
      </c>
      <c r="BD228" s="38">
        <f t="shared" si="68"/>
        <v>0</v>
      </c>
      <c r="BE228" s="38">
        <v>0</v>
      </c>
      <c r="BF228" s="38">
        <f>228</f>
        <v>228</v>
      </c>
      <c r="BH228" s="22">
        <f t="shared" si="69"/>
        <v>0</v>
      </c>
      <c r="BI228" s="22">
        <f t="shared" si="70"/>
        <v>0</v>
      </c>
      <c r="BJ228" s="22">
        <f t="shared" si="71"/>
        <v>0</v>
      </c>
      <c r="BK228" s="22" t="s">
        <v>622</v>
      </c>
      <c r="BL228" s="38"/>
    </row>
    <row r="229" spans="1:64" x14ac:dyDescent="0.2">
      <c r="A229" s="92" t="s">
        <v>150</v>
      </c>
      <c r="B229" s="93" t="s">
        <v>310</v>
      </c>
      <c r="C229" s="158" t="s">
        <v>530</v>
      </c>
      <c r="D229" s="159"/>
      <c r="E229" s="159"/>
      <c r="F229" s="159"/>
      <c r="G229" s="93" t="s">
        <v>545</v>
      </c>
      <c r="H229" s="94">
        <v>2</v>
      </c>
      <c r="I229" s="97">
        <v>0</v>
      </c>
      <c r="J229" s="94">
        <f t="shared" si="48"/>
        <v>0</v>
      </c>
      <c r="K229" s="94">
        <f t="shared" si="49"/>
        <v>0</v>
      </c>
      <c r="L229" s="94">
        <f t="shared" si="50"/>
        <v>0</v>
      </c>
      <c r="M229" s="107" t="s">
        <v>764</v>
      </c>
      <c r="N229" s="5"/>
      <c r="Z229" s="38">
        <f t="shared" si="51"/>
        <v>0</v>
      </c>
      <c r="AB229" s="38">
        <f t="shared" si="52"/>
        <v>0</v>
      </c>
      <c r="AC229" s="38">
        <f t="shared" si="53"/>
        <v>0</v>
      </c>
      <c r="AD229" s="38">
        <f t="shared" si="54"/>
        <v>0</v>
      </c>
      <c r="AE229" s="38">
        <f t="shared" si="55"/>
        <v>0</v>
      </c>
      <c r="AF229" s="38">
        <f t="shared" si="56"/>
        <v>0</v>
      </c>
      <c r="AG229" s="38">
        <f t="shared" si="57"/>
        <v>0</v>
      </c>
      <c r="AH229" s="38">
        <f t="shared" si="58"/>
        <v>0</v>
      </c>
      <c r="AI229" s="37"/>
      <c r="AJ229" s="22">
        <f t="shared" si="59"/>
        <v>0</v>
      </c>
      <c r="AK229" s="22">
        <f t="shared" si="60"/>
        <v>0</v>
      </c>
      <c r="AL229" s="22">
        <f t="shared" si="61"/>
        <v>0</v>
      </c>
      <c r="AN229" s="38">
        <v>12</v>
      </c>
      <c r="AO229" s="38">
        <f t="shared" si="62"/>
        <v>0</v>
      </c>
      <c r="AP229" s="38">
        <f t="shared" si="63"/>
        <v>0</v>
      </c>
      <c r="AQ229" s="40" t="s">
        <v>153</v>
      </c>
      <c r="AV229" s="38">
        <f t="shared" si="64"/>
        <v>0</v>
      </c>
      <c r="AW229" s="38">
        <f t="shared" si="65"/>
        <v>0</v>
      </c>
      <c r="AX229" s="38">
        <f t="shared" si="66"/>
        <v>0</v>
      </c>
      <c r="AY229" s="41" t="s">
        <v>605</v>
      </c>
      <c r="AZ229" s="41" t="s">
        <v>615</v>
      </c>
      <c r="BA229" s="37" t="s">
        <v>616</v>
      </c>
      <c r="BC229" s="38">
        <f t="shared" si="67"/>
        <v>0</v>
      </c>
      <c r="BD229" s="38">
        <f t="shared" si="68"/>
        <v>0</v>
      </c>
      <c r="BE229" s="38">
        <v>0</v>
      </c>
      <c r="BF229" s="38">
        <f>229</f>
        <v>229</v>
      </c>
      <c r="BH229" s="22">
        <f t="shared" si="69"/>
        <v>0</v>
      </c>
      <c r="BI229" s="22">
        <f t="shared" si="70"/>
        <v>0</v>
      </c>
      <c r="BJ229" s="22">
        <f t="shared" si="71"/>
        <v>0</v>
      </c>
      <c r="BK229" s="22" t="s">
        <v>622</v>
      </c>
      <c r="BL229" s="38"/>
    </row>
    <row r="230" spans="1:64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160" t="s">
        <v>559</v>
      </c>
      <c r="K230" s="152"/>
      <c r="L230" s="45">
        <f>L12+L15+L21+L24+L26+L38+L44+L47+L52+L55+L60+L64+L69+L71+L77+L80+L82+L85+L88+L95+L99+L102+L119+L124+L127+L132+L135+L137+L145+L148+L154+L175+L188</f>
        <v>0</v>
      </c>
    </row>
    <row r="231" spans="1:64" ht="11.25" customHeight="1" x14ac:dyDescent="0.2">
      <c r="A231" s="9" t="s">
        <v>151</v>
      </c>
      <c r="M231"/>
    </row>
    <row r="232" spans="1:64" x14ac:dyDescent="0.2">
      <c r="A232" s="117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</row>
  </sheetData>
  <sheetProtection algorithmName="SHA-512" hashValue="y2Q9gXfKdCjrnYdWmel1T/JOsirJzsSUb2Smzd2fvkAnZfXGdj1CmYzBJVnVB+igdieHA6Dqf+J+qIPpoZNLlw==" saltValue="H9BDAxX+GDzwAvbMXJrYjA==" spinCount="100000" sheet="1" objects="1" scenarios="1"/>
  <mergeCells count="248">
    <mergeCell ref="A1:M1"/>
    <mergeCell ref="A2:B3"/>
    <mergeCell ref="C2:D3"/>
    <mergeCell ref="E2:F3"/>
    <mergeCell ref="G2:H3"/>
    <mergeCell ref="I2:I3"/>
    <mergeCell ref="J2:M3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C10:F10"/>
    <mergeCell ref="J10:L10"/>
    <mergeCell ref="C11:F11"/>
    <mergeCell ref="C12:F12"/>
    <mergeCell ref="C13:F13"/>
    <mergeCell ref="C14:M14"/>
    <mergeCell ref="A8:B9"/>
    <mergeCell ref="C8:D9"/>
    <mergeCell ref="E8:F9"/>
    <mergeCell ref="G8:H9"/>
    <mergeCell ref="I8:I9"/>
    <mergeCell ref="J8:M9"/>
    <mergeCell ref="C21:F21"/>
    <mergeCell ref="C22:F22"/>
    <mergeCell ref="C23:M23"/>
    <mergeCell ref="C24:F24"/>
    <mergeCell ref="C25:F25"/>
    <mergeCell ref="C26:F26"/>
    <mergeCell ref="C15:F15"/>
    <mergeCell ref="C16:F16"/>
    <mergeCell ref="C17:M17"/>
    <mergeCell ref="C18:F18"/>
    <mergeCell ref="C19:M19"/>
    <mergeCell ref="C20:F20"/>
    <mergeCell ref="C33:F33"/>
    <mergeCell ref="C34:M34"/>
    <mergeCell ref="C35:F35"/>
    <mergeCell ref="C36:M36"/>
    <mergeCell ref="C37:F37"/>
    <mergeCell ref="C38:F38"/>
    <mergeCell ref="C27:F27"/>
    <mergeCell ref="C28:M28"/>
    <mergeCell ref="C29:F29"/>
    <mergeCell ref="C30:M30"/>
    <mergeCell ref="C31:F31"/>
    <mergeCell ref="C32:M32"/>
    <mergeCell ref="C45:F45"/>
    <mergeCell ref="C46:F46"/>
    <mergeCell ref="C47:F47"/>
    <mergeCell ref="C48:F48"/>
    <mergeCell ref="C49:M49"/>
    <mergeCell ref="C50:F50"/>
    <mergeCell ref="C39:F39"/>
    <mergeCell ref="C40:F40"/>
    <mergeCell ref="C41:M41"/>
    <mergeCell ref="C42:F42"/>
    <mergeCell ref="C43:M43"/>
    <mergeCell ref="C44:F44"/>
    <mergeCell ref="C57:M57"/>
    <mergeCell ref="C58:F58"/>
    <mergeCell ref="C59:M59"/>
    <mergeCell ref="C60:F60"/>
    <mergeCell ref="C61:F61"/>
    <mergeCell ref="C62:M62"/>
    <mergeCell ref="C51:F51"/>
    <mergeCell ref="C52:F52"/>
    <mergeCell ref="C53:F53"/>
    <mergeCell ref="C54:M54"/>
    <mergeCell ref="C55:F55"/>
    <mergeCell ref="C56:F56"/>
    <mergeCell ref="C69:F69"/>
    <mergeCell ref="C70:F70"/>
    <mergeCell ref="C71:F71"/>
    <mergeCell ref="C72:F72"/>
    <mergeCell ref="C73:M73"/>
    <mergeCell ref="C74:F74"/>
    <mergeCell ref="C63:F63"/>
    <mergeCell ref="C64:F64"/>
    <mergeCell ref="C65:F65"/>
    <mergeCell ref="C66:M66"/>
    <mergeCell ref="C67:F67"/>
    <mergeCell ref="C68:M68"/>
    <mergeCell ref="C81:F81"/>
    <mergeCell ref="C82:F82"/>
    <mergeCell ref="C83:F83"/>
    <mergeCell ref="C84:M84"/>
    <mergeCell ref="C85:F85"/>
    <mergeCell ref="C86:F86"/>
    <mergeCell ref="C75:F75"/>
    <mergeCell ref="C76:M76"/>
    <mergeCell ref="C77:F77"/>
    <mergeCell ref="C78:F78"/>
    <mergeCell ref="C79:F79"/>
    <mergeCell ref="C80:F80"/>
    <mergeCell ref="C93:M93"/>
    <mergeCell ref="C94:F94"/>
    <mergeCell ref="C95:F95"/>
    <mergeCell ref="C96:F96"/>
    <mergeCell ref="C97:M97"/>
    <mergeCell ref="C98:F98"/>
    <mergeCell ref="C87:M87"/>
    <mergeCell ref="C88:F88"/>
    <mergeCell ref="C89:F89"/>
    <mergeCell ref="C90:F90"/>
    <mergeCell ref="C91:M91"/>
    <mergeCell ref="C92:F92"/>
    <mergeCell ref="C105:F105"/>
    <mergeCell ref="C106:M106"/>
    <mergeCell ref="C107:F107"/>
    <mergeCell ref="C108:M108"/>
    <mergeCell ref="C109:F109"/>
    <mergeCell ref="C110:M110"/>
    <mergeCell ref="C99:F99"/>
    <mergeCell ref="C100:F100"/>
    <mergeCell ref="C101:M101"/>
    <mergeCell ref="C102:F102"/>
    <mergeCell ref="C103:F103"/>
    <mergeCell ref="C104:M104"/>
    <mergeCell ref="C117:F117"/>
    <mergeCell ref="C118:M118"/>
    <mergeCell ref="C119:F119"/>
    <mergeCell ref="C120:F120"/>
    <mergeCell ref="C121:M121"/>
    <mergeCell ref="C122:F122"/>
    <mergeCell ref="C111:F111"/>
    <mergeCell ref="C112:M112"/>
    <mergeCell ref="C113:F113"/>
    <mergeCell ref="C114:M114"/>
    <mergeCell ref="C115:F115"/>
    <mergeCell ref="C116:M116"/>
    <mergeCell ref="C129:F129"/>
    <mergeCell ref="C130:F130"/>
    <mergeCell ref="C131:F131"/>
    <mergeCell ref="C132:F132"/>
    <mergeCell ref="C133:F133"/>
    <mergeCell ref="C134:F134"/>
    <mergeCell ref="C123:F123"/>
    <mergeCell ref="C124:F124"/>
    <mergeCell ref="C125:F125"/>
    <mergeCell ref="C126:M126"/>
    <mergeCell ref="C127:F127"/>
    <mergeCell ref="C128:F128"/>
    <mergeCell ref="C141:M141"/>
    <mergeCell ref="C142:F142"/>
    <mergeCell ref="C143:M143"/>
    <mergeCell ref="C144:F144"/>
    <mergeCell ref="C145:F145"/>
    <mergeCell ref="C146:F146"/>
    <mergeCell ref="C135:F135"/>
    <mergeCell ref="C136:F136"/>
    <mergeCell ref="C137:F137"/>
    <mergeCell ref="C138:F138"/>
    <mergeCell ref="C139:M139"/>
    <mergeCell ref="C140:F140"/>
    <mergeCell ref="C153:M153"/>
    <mergeCell ref="C154:F154"/>
    <mergeCell ref="C155:F155"/>
    <mergeCell ref="C156:F156"/>
    <mergeCell ref="C157:F157"/>
    <mergeCell ref="C158:F158"/>
    <mergeCell ref="C147:M147"/>
    <mergeCell ref="C148:F148"/>
    <mergeCell ref="C149:F149"/>
    <mergeCell ref="C150:F150"/>
    <mergeCell ref="C151:F151"/>
    <mergeCell ref="C152:F152"/>
    <mergeCell ref="C165:F165"/>
    <mergeCell ref="C166:F166"/>
    <mergeCell ref="C167:F167"/>
    <mergeCell ref="C168:F168"/>
    <mergeCell ref="C169:F169"/>
    <mergeCell ref="C170:F170"/>
    <mergeCell ref="C159:F159"/>
    <mergeCell ref="C160:F160"/>
    <mergeCell ref="C161:F161"/>
    <mergeCell ref="C162:F162"/>
    <mergeCell ref="C163:F163"/>
    <mergeCell ref="C164:F164"/>
    <mergeCell ref="C177:F177"/>
    <mergeCell ref="C178:F178"/>
    <mergeCell ref="C179:F179"/>
    <mergeCell ref="C180:F180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89:F189"/>
    <mergeCell ref="C190:F190"/>
    <mergeCell ref="C191:F191"/>
    <mergeCell ref="C192:F192"/>
    <mergeCell ref="C193:F193"/>
    <mergeCell ref="C194:F194"/>
    <mergeCell ref="C183:F183"/>
    <mergeCell ref="C184:F184"/>
    <mergeCell ref="C185:F185"/>
    <mergeCell ref="C186:F186"/>
    <mergeCell ref="C187:F187"/>
    <mergeCell ref="C188:F188"/>
    <mergeCell ref="C201:F201"/>
    <mergeCell ref="C202:F202"/>
    <mergeCell ref="C203:F203"/>
    <mergeCell ref="C204:F204"/>
    <mergeCell ref="C205:F205"/>
    <mergeCell ref="C206:F206"/>
    <mergeCell ref="C195:F195"/>
    <mergeCell ref="C196:F196"/>
    <mergeCell ref="C197:F197"/>
    <mergeCell ref="C198:F198"/>
    <mergeCell ref="C199:F199"/>
    <mergeCell ref="C200:F200"/>
    <mergeCell ref="C213:F213"/>
    <mergeCell ref="C214:F214"/>
    <mergeCell ref="C215:F215"/>
    <mergeCell ref="C216:F216"/>
    <mergeCell ref="C217:F217"/>
    <mergeCell ref="C218:F218"/>
    <mergeCell ref="C207:F207"/>
    <mergeCell ref="C208:F208"/>
    <mergeCell ref="C209:F209"/>
    <mergeCell ref="C210:F210"/>
    <mergeCell ref="C211:F211"/>
    <mergeCell ref="C212:F212"/>
    <mergeCell ref="A232:M232"/>
    <mergeCell ref="C225:F225"/>
    <mergeCell ref="C226:F226"/>
    <mergeCell ref="C227:F227"/>
    <mergeCell ref="C228:F228"/>
    <mergeCell ref="C229:F229"/>
    <mergeCell ref="J230:K230"/>
    <mergeCell ref="C219:F219"/>
    <mergeCell ref="C220:F220"/>
    <mergeCell ref="C221:F221"/>
    <mergeCell ref="C222:F222"/>
    <mergeCell ref="C223:F223"/>
    <mergeCell ref="C224:F224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4"/>
  <sheetViews>
    <sheetView workbookViewId="0">
      <pane ySplit="10" topLeftCell="A11" activePane="bottomLeft" state="frozenSplit"/>
      <selection pane="bottomLeft" activeCell="C18" sqref="C18:D18"/>
    </sheetView>
  </sheetViews>
  <sheetFormatPr defaultColWidth="11.5703125" defaultRowHeight="12.75" x14ac:dyDescent="0.2"/>
  <cols>
    <col min="1" max="2" width="7.140625" customWidth="1"/>
    <col min="3" max="3" width="57.140625" customWidth="1"/>
    <col min="5" max="5" width="22.140625" customWidth="1"/>
    <col min="6" max="6" width="21" customWidth="1"/>
    <col min="7" max="7" width="20.85546875" customWidth="1"/>
    <col min="8" max="9" width="0" hidden="1" customWidth="1"/>
  </cols>
  <sheetData>
    <row r="1" spans="1:9" ht="72.95" customHeight="1" x14ac:dyDescent="0.35">
      <c r="A1" s="191" t="s">
        <v>624</v>
      </c>
      <c r="B1" s="148"/>
      <c r="C1" s="148"/>
      <c r="D1" s="148"/>
      <c r="E1" s="148"/>
      <c r="F1" s="148"/>
      <c r="G1" s="148"/>
    </row>
    <row r="2" spans="1:9" x14ac:dyDescent="0.2">
      <c r="A2" s="149" t="s">
        <v>1</v>
      </c>
      <c r="B2" s="150"/>
      <c r="C2" s="151" t="str">
        <f>'Stavební rozpočet'!C2</f>
        <v>Prodloužení evekuačního výtahu a stavební úpravy 4.NP</v>
      </c>
      <c r="D2" s="192" t="s">
        <v>531</v>
      </c>
      <c r="E2" s="192" t="s">
        <v>6</v>
      </c>
      <c r="F2" s="154" t="s">
        <v>547</v>
      </c>
      <c r="G2" s="198" t="str">
        <f>'Stavební rozpočet'!J2</f>
        <v>Zámeček Střelice p.o.</v>
      </c>
      <c r="H2" s="5"/>
    </row>
    <row r="3" spans="1:9" x14ac:dyDescent="0.2">
      <c r="A3" s="141"/>
      <c r="B3" s="118"/>
      <c r="C3" s="153"/>
      <c r="D3" s="118"/>
      <c r="E3" s="118"/>
      <c r="F3" s="118"/>
      <c r="G3" s="144"/>
      <c r="H3" s="5"/>
    </row>
    <row r="4" spans="1:9" x14ac:dyDescent="0.2">
      <c r="A4" s="140" t="s">
        <v>2</v>
      </c>
      <c r="B4" s="118"/>
      <c r="C4" s="117" t="str">
        <f>'Stavební rozpočet'!C4</f>
        <v>Stavební úpravy objektu Nového Pavilónu</v>
      </c>
      <c r="D4" s="142" t="s">
        <v>532</v>
      </c>
      <c r="E4" s="142" t="s">
        <v>6</v>
      </c>
      <c r="F4" s="117" t="s">
        <v>548</v>
      </c>
      <c r="G4" s="138" t="str">
        <f>'Stavební rozpočet'!J4</f>
        <v>Jiří Kratochvíl</v>
      </c>
      <c r="H4" s="5"/>
    </row>
    <row r="5" spans="1:9" x14ac:dyDescent="0.2">
      <c r="A5" s="141"/>
      <c r="B5" s="118"/>
      <c r="C5" s="118"/>
      <c r="D5" s="118"/>
      <c r="E5" s="118"/>
      <c r="F5" s="118"/>
      <c r="G5" s="144"/>
      <c r="H5" s="5"/>
    </row>
    <row r="6" spans="1:9" x14ac:dyDescent="0.2">
      <c r="A6" s="140" t="s">
        <v>3</v>
      </c>
      <c r="B6" s="118"/>
      <c r="C6" s="117" t="str">
        <f>'Stavební rozpočet'!C6</f>
        <v>Areál Zámečku Střelice</v>
      </c>
      <c r="D6" s="142" t="s">
        <v>533</v>
      </c>
      <c r="E6" s="142" t="s">
        <v>6</v>
      </c>
      <c r="F6" s="117" t="s">
        <v>549</v>
      </c>
      <c r="G6" s="138" t="str">
        <f>'Stavební rozpočet'!J6</f>
        <v> </v>
      </c>
      <c r="H6" s="5"/>
    </row>
    <row r="7" spans="1:9" x14ac:dyDescent="0.2">
      <c r="A7" s="141"/>
      <c r="B7" s="118"/>
      <c r="C7" s="118"/>
      <c r="D7" s="118"/>
      <c r="E7" s="118"/>
      <c r="F7" s="118"/>
      <c r="G7" s="144"/>
      <c r="H7" s="5"/>
    </row>
    <row r="8" spans="1:9" x14ac:dyDescent="0.2">
      <c r="A8" s="140" t="s">
        <v>550</v>
      </c>
      <c r="B8" s="118"/>
      <c r="C8" s="117" t="str">
        <f>'Stavební rozpočet'!J8</f>
        <v>Ing. Jiří Kratochvíl</v>
      </c>
      <c r="D8" s="142" t="s">
        <v>534</v>
      </c>
      <c r="E8" s="142" t="s">
        <v>535</v>
      </c>
      <c r="F8" s="142" t="s">
        <v>534</v>
      </c>
      <c r="G8" s="138" t="str">
        <f>'Stavební rozpočet'!G8</f>
        <v>20.11.2023</v>
      </c>
      <c r="H8" s="5"/>
    </row>
    <row r="9" spans="1:9" x14ac:dyDescent="0.2">
      <c r="A9" s="184"/>
      <c r="B9" s="185"/>
      <c r="C9" s="185"/>
      <c r="D9" s="146"/>
      <c r="E9" s="185"/>
      <c r="F9" s="185"/>
      <c r="G9" s="197"/>
      <c r="H9" s="5"/>
    </row>
    <row r="10" spans="1:9" x14ac:dyDescent="0.2">
      <c r="A10" s="46" t="s">
        <v>625</v>
      </c>
      <c r="B10" s="49" t="s">
        <v>152</v>
      </c>
      <c r="C10" s="51" t="s">
        <v>626</v>
      </c>
      <c r="D10" s="52"/>
      <c r="E10" s="53" t="s">
        <v>627</v>
      </c>
      <c r="F10" s="53" t="s">
        <v>628</v>
      </c>
      <c r="G10" s="53" t="s">
        <v>629</v>
      </c>
      <c r="H10" s="5"/>
    </row>
    <row r="11" spans="1:9" x14ac:dyDescent="0.2">
      <c r="A11" s="47"/>
      <c r="B11" s="50" t="s">
        <v>153</v>
      </c>
      <c r="C11" s="196" t="s">
        <v>316</v>
      </c>
      <c r="D11" s="118"/>
      <c r="E11" s="55">
        <f>'Stavební rozpočet'!J12</f>
        <v>0</v>
      </c>
      <c r="F11" s="55">
        <f>'Stavební rozpočet'!K12</f>
        <v>0</v>
      </c>
      <c r="G11" s="55">
        <f>'Stavební rozpočet'!L12</f>
        <v>0</v>
      </c>
      <c r="H11" s="38" t="s">
        <v>630</v>
      </c>
      <c r="I11" s="38">
        <f t="shared" ref="I11:I43" si="0">IF(H11="F",0,G11)</f>
        <v>0</v>
      </c>
    </row>
    <row r="12" spans="1:9" x14ac:dyDescent="0.2">
      <c r="A12" s="48"/>
      <c r="B12" s="17" t="s">
        <v>37</v>
      </c>
      <c r="C12" s="142" t="s">
        <v>319</v>
      </c>
      <c r="D12" s="118"/>
      <c r="E12" s="38">
        <f>'Stavební rozpočet'!J15</f>
        <v>0</v>
      </c>
      <c r="F12" s="38">
        <f>'Stavební rozpočet'!K15</f>
        <v>0</v>
      </c>
      <c r="G12" s="38">
        <f>'Stavební rozpočet'!L15</f>
        <v>0</v>
      </c>
      <c r="H12" s="38" t="s">
        <v>630</v>
      </c>
      <c r="I12" s="38">
        <f t="shared" si="0"/>
        <v>0</v>
      </c>
    </row>
    <row r="13" spans="1:9" x14ac:dyDescent="0.2">
      <c r="A13" s="48"/>
      <c r="B13" s="17" t="s">
        <v>38</v>
      </c>
      <c r="C13" s="142" t="s">
        <v>325</v>
      </c>
      <c r="D13" s="118"/>
      <c r="E13" s="38">
        <f>'Stavební rozpočet'!J21</f>
        <v>0</v>
      </c>
      <c r="F13" s="38">
        <f>'Stavební rozpočet'!K21</f>
        <v>0</v>
      </c>
      <c r="G13" s="38">
        <f>'Stavební rozpočet'!L21</f>
        <v>0</v>
      </c>
      <c r="H13" s="38" t="s">
        <v>630</v>
      </c>
      <c r="I13" s="38">
        <f t="shared" si="0"/>
        <v>0</v>
      </c>
    </row>
    <row r="14" spans="1:9" x14ac:dyDescent="0.2">
      <c r="A14" s="48"/>
      <c r="B14" s="17" t="s">
        <v>160</v>
      </c>
      <c r="C14" s="142" t="s">
        <v>328</v>
      </c>
      <c r="D14" s="118"/>
      <c r="E14" s="38">
        <f>'Stavební rozpočet'!J24</f>
        <v>0</v>
      </c>
      <c r="F14" s="38">
        <f>'Stavební rozpočet'!K24</f>
        <v>0</v>
      </c>
      <c r="G14" s="38">
        <f>'Stavební rozpočet'!L24</f>
        <v>0</v>
      </c>
      <c r="H14" s="38" t="s">
        <v>630</v>
      </c>
      <c r="I14" s="38">
        <f t="shared" si="0"/>
        <v>0</v>
      </c>
    </row>
    <row r="15" spans="1:9" x14ac:dyDescent="0.2">
      <c r="A15" s="48"/>
      <c r="B15" s="17" t="s">
        <v>40</v>
      </c>
      <c r="C15" s="142" t="s">
        <v>330</v>
      </c>
      <c r="D15" s="118"/>
      <c r="E15" s="38">
        <f>'Stavební rozpočet'!J26</f>
        <v>0</v>
      </c>
      <c r="F15" s="38">
        <f>'Stavební rozpočet'!K26</f>
        <v>0</v>
      </c>
      <c r="G15" s="38">
        <f>'Stavební rozpočet'!L26</f>
        <v>0</v>
      </c>
      <c r="H15" s="38" t="s">
        <v>630</v>
      </c>
      <c r="I15" s="38">
        <f t="shared" si="0"/>
        <v>0</v>
      </c>
    </row>
    <row r="16" spans="1:9" x14ac:dyDescent="0.2">
      <c r="A16" s="48"/>
      <c r="B16" s="17" t="s">
        <v>47</v>
      </c>
      <c r="C16" s="142" t="s">
        <v>341</v>
      </c>
      <c r="D16" s="118"/>
      <c r="E16" s="38">
        <f>'Stavební rozpočet'!J38</f>
        <v>0</v>
      </c>
      <c r="F16" s="38">
        <f>'Stavební rozpočet'!K38</f>
        <v>0</v>
      </c>
      <c r="G16" s="38">
        <f>'Stavební rozpočet'!L38</f>
        <v>0</v>
      </c>
      <c r="H16" s="38" t="s">
        <v>630</v>
      </c>
      <c r="I16" s="38">
        <f t="shared" si="0"/>
        <v>0</v>
      </c>
    </row>
    <row r="17" spans="1:9" x14ac:dyDescent="0.2">
      <c r="A17" s="48"/>
      <c r="B17" s="17" t="s">
        <v>50</v>
      </c>
      <c r="C17" s="142" t="s">
        <v>347</v>
      </c>
      <c r="D17" s="118"/>
      <c r="E17" s="38">
        <f>'Stavební rozpočet'!J44</f>
        <v>0</v>
      </c>
      <c r="F17" s="38">
        <f>'Stavební rozpočet'!K44</f>
        <v>0</v>
      </c>
      <c r="G17" s="38">
        <f>'Stavební rozpočet'!L44</f>
        <v>0</v>
      </c>
      <c r="H17" s="38" t="s">
        <v>630</v>
      </c>
      <c r="I17" s="38">
        <f t="shared" si="0"/>
        <v>0</v>
      </c>
    </row>
    <row r="18" spans="1:9" x14ac:dyDescent="0.2">
      <c r="A18" s="48"/>
      <c r="B18" s="17" t="s">
        <v>67</v>
      </c>
      <c r="C18" s="142" t="s">
        <v>350</v>
      </c>
      <c r="D18" s="118"/>
      <c r="E18" s="38">
        <f>'Stavební rozpočet'!J47</f>
        <v>0</v>
      </c>
      <c r="F18" s="38">
        <f>'Stavební rozpočet'!K47</f>
        <v>0</v>
      </c>
      <c r="G18" s="38">
        <f>'Stavební rozpočet'!L47</f>
        <v>0</v>
      </c>
      <c r="H18" s="38" t="s">
        <v>630</v>
      </c>
      <c r="I18" s="38">
        <f t="shared" si="0"/>
        <v>0</v>
      </c>
    </row>
    <row r="19" spans="1:9" x14ac:dyDescent="0.2">
      <c r="A19" s="48"/>
      <c r="B19" s="17" t="s">
        <v>68</v>
      </c>
      <c r="C19" s="142" t="s">
        <v>355</v>
      </c>
      <c r="D19" s="118"/>
      <c r="E19" s="38">
        <f>'Stavební rozpočet'!J52</f>
        <v>0</v>
      </c>
      <c r="F19" s="38">
        <f>'Stavební rozpočet'!K52</f>
        <v>0</v>
      </c>
      <c r="G19" s="38">
        <f>'Stavební rozpočet'!L52</f>
        <v>0</v>
      </c>
      <c r="H19" s="38" t="s">
        <v>630</v>
      </c>
      <c r="I19" s="38">
        <f t="shared" si="0"/>
        <v>0</v>
      </c>
    </row>
    <row r="20" spans="1:9" x14ac:dyDescent="0.2">
      <c r="A20" s="48"/>
      <c r="B20" s="17" t="s">
        <v>69</v>
      </c>
      <c r="C20" s="142" t="s">
        <v>358</v>
      </c>
      <c r="D20" s="118"/>
      <c r="E20" s="38">
        <f>'Stavební rozpočet'!J55</f>
        <v>0</v>
      </c>
      <c r="F20" s="38">
        <f>'Stavební rozpočet'!K55</f>
        <v>0</v>
      </c>
      <c r="G20" s="38">
        <f>'Stavební rozpočet'!L55</f>
        <v>0</v>
      </c>
      <c r="H20" s="38" t="s">
        <v>630</v>
      </c>
      <c r="I20" s="38">
        <f t="shared" si="0"/>
        <v>0</v>
      </c>
    </row>
    <row r="21" spans="1:9" x14ac:dyDescent="0.2">
      <c r="A21" s="48"/>
      <c r="B21" s="17" t="s">
        <v>70</v>
      </c>
      <c r="C21" s="142" t="s">
        <v>363</v>
      </c>
      <c r="D21" s="118"/>
      <c r="E21" s="38">
        <f>'Stavební rozpočet'!J60</f>
        <v>0</v>
      </c>
      <c r="F21" s="38">
        <f>'Stavební rozpočet'!K60</f>
        <v>0</v>
      </c>
      <c r="G21" s="38">
        <f>'Stavební rozpočet'!L60</f>
        <v>0</v>
      </c>
      <c r="H21" s="38" t="s">
        <v>630</v>
      </c>
      <c r="I21" s="38">
        <f t="shared" si="0"/>
        <v>0</v>
      </c>
    </row>
    <row r="22" spans="1:9" x14ac:dyDescent="0.2">
      <c r="A22" s="48"/>
      <c r="B22" s="17" t="s">
        <v>181</v>
      </c>
      <c r="C22" s="142" t="s">
        <v>367</v>
      </c>
      <c r="D22" s="118"/>
      <c r="E22" s="38">
        <f>'Stavební rozpočet'!J64</f>
        <v>0</v>
      </c>
      <c r="F22" s="38">
        <f>'Stavební rozpočet'!K64</f>
        <v>0</v>
      </c>
      <c r="G22" s="38">
        <f>'Stavební rozpočet'!L64</f>
        <v>0</v>
      </c>
      <c r="H22" s="38" t="s">
        <v>630</v>
      </c>
      <c r="I22" s="38">
        <f t="shared" si="0"/>
        <v>0</v>
      </c>
    </row>
    <row r="23" spans="1:9" x14ac:dyDescent="0.2">
      <c r="A23" s="48"/>
      <c r="B23" s="17" t="s">
        <v>184</v>
      </c>
      <c r="C23" s="142" t="s">
        <v>372</v>
      </c>
      <c r="D23" s="118"/>
      <c r="E23" s="38">
        <f>'Stavební rozpočet'!J69</f>
        <v>0</v>
      </c>
      <c r="F23" s="38">
        <f>'Stavební rozpočet'!K69</f>
        <v>0</v>
      </c>
      <c r="G23" s="38">
        <f>'Stavební rozpočet'!L69</f>
        <v>0</v>
      </c>
      <c r="H23" s="38" t="s">
        <v>630</v>
      </c>
      <c r="I23" s="38">
        <f t="shared" si="0"/>
        <v>0</v>
      </c>
    </row>
    <row r="24" spans="1:9" x14ac:dyDescent="0.2">
      <c r="A24" s="48"/>
      <c r="B24" s="17" t="s">
        <v>186</v>
      </c>
      <c r="C24" s="142" t="s">
        <v>374</v>
      </c>
      <c r="D24" s="118"/>
      <c r="E24" s="38">
        <f>'Stavební rozpočet'!J71</f>
        <v>0</v>
      </c>
      <c r="F24" s="38">
        <f>'Stavební rozpočet'!K71</f>
        <v>0</v>
      </c>
      <c r="G24" s="38">
        <f>'Stavební rozpočet'!L71</f>
        <v>0</v>
      </c>
      <c r="H24" s="38" t="s">
        <v>630</v>
      </c>
      <c r="I24" s="38">
        <f t="shared" si="0"/>
        <v>0</v>
      </c>
    </row>
    <row r="25" spans="1:9" x14ac:dyDescent="0.2">
      <c r="A25" s="48"/>
      <c r="B25" s="17" t="s">
        <v>190</v>
      </c>
      <c r="C25" s="142" t="s">
        <v>380</v>
      </c>
      <c r="D25" s="118"/>
      <c r="E25" s="38">
        <f>'Stavební rozpočet'!J77</f>
        <v>0</v>
      </c>
      <c r="F25" s="38">
        <f>'Stavební rozpočet'!K77</f>
        <v>0</v>
      </c>
      <c r="G25" s="38">
        <f>'Stavební rozpočet'!L77</f>
        <v>0</v>
      </c>
      <c r="H25" s="38" t="s">
        <v>630</v>
      </c>
      <c r="I25" s="38">
        <f t="shared" si="0"/>
        <v>0</v>
      </c>
    </row>
    <row r="26" spans="1:9" x14ac:dyDescent="0.2">
      <c r="A26" s="48"/>
      <c r="B26" s="17" t="s">
        <v>193</v>
      </c>
      <c r="C26" s="142" t="s">
        <v>383</v>
      </c>
      <c r="D26" s="118"/>
      <c r="E26" s="38">
        <f>'Stavební rozpočet'!J80</f>
        <v>0</v>
      </c>
      <c r="F26" s="38">
        <f>'Stavební rozpočet'!K80</f>
        <v>0</v>
      </c>
      <c r="G26" s="38">
        <f>'Stavební rozpočet'!L80</f>
        <v>0</v>
      </c>
      <c r="H26" s="38" t="s">
        <v>630</v>
      </c>
      <c r="I26" s="38">
        <f t="shared" si="0"/>
        <v>0</v>
      </c>
    </row>
    <row r="27" spans="1:9" x14ac:dyDescent="0.2">
      <c r="A27" s="48"/>
      <c r="B27" s="17" t="s">
        <v>195</v>
      </c>
      <c r="C27" s="142" t="s">
        <v>385</v>
      </c>
      <c r="D27" s="118"/>
      <c r="E27" s="38">
        <f>'Stavební rozpočet'!J82</f>
        <v>0</v>
      </c>
      <c r="F27" s="38">
        <f>'Stavební rozpočet'!K82</f>
        <v>0</v>
      </c>
      <c r="G27" s="38">
        <f>'Stavební rozpočet'!L82</f>
        <v>0</v>
      </c>
      <c r="H27" s="38" t="s">
        <v>630</v>
      </c>
      <c r="I27" s="38">
        <f t="shared" si="0"/>
        <v>0</v>
      </c>
    </row>
    <row r="28" spans="1:9" x14ac:dyDescent="0.2">
      <c r="A28" s="48"/>
      <c r="B28" s="17" t="s">
        <v>197</v>
      </c>
      <c r="C28" s="142" t="s">
        <v>388</v>
      </c>
      <c r="D28" s="118"/>
      <c r="E28" s="38">
        <f>'Stavební rozpočet'!J85</f>
        <v>0</v>
      </c>
      <c r="F28" s="38">
        <f>'Stavební rozpočet'!K85</f>
        <v>0</v>
      </c>
      <c r="G28" s="38">
        <f>'Stavební rozpočet'!L85</f>
        <v>0</v>
      </c>
      <c r="H28" s="38" t="s">
        <v>630</v>
      </c>
      <c r="I28" s="38">
        <f t="shared" si="0"/>
        <v>0</v>
      </c>
    </row>
    <row r="29" spans="1:9" x14ac:dyDescent="0.2">
      <c r="A29" s="48"/>
      <c r="B29" s="17" t="s">
        <v>199</v>
      </c>
      <c r="C29" s="142" t="s">
        <v>391</v>
      </c>
      <c r="D29" s="118"/>
      <c r="E29" s="38">
        <f>'Stavební rozpočet'!J88</f>
        <v>0</v>
      </c>
      <c r="F29" s="38">
        <f>'Stavební rozpočet'!K88</f>
        <v>0</v>
      </c>
      <c r="G29" s="38">
        <f>'Stavební rozpočet'!L88</f>
        <v>0</v>
      </c>
      <c r="H29" s="38" t="s">
        <v>630</v>
      </c>
      <c r="I29" s="38">
        <f t="shared" si="0"/>
        <v>0</v>
      </c>
    </row>
    <row r="30" spans="1:9" x14ac:dyDescent="0.2">
      <c r="A30" s="48"/>
      <c r="B30" s="17" t="s">
        <v>203</v>
      </c>
      <c r="C30" s="142" t="s">
        <v>398</v>
      </c>
      <c r="D30" s="118"/>
      <c r="E30" s="38">
        <f>'Stavební rozpočet'!J95</f>
        <v>0</v>
      </c>
      <c r="F30" s="38">
        <f>'Stavební rozpočet'!K95</f>
        <v>0</v>
      </c>
      <c r="G30" s="38">
        <f>'Stavební rozpočet'!L95</f>
        <v>0</v>
      </c>
      <c r="H30" s="38" t="s">
        <v>630</v>
      </c>
      <c r="I30" s="38">
        <f t="shared" si="0"/>
        <v>0</v>
      </c>
    </row>
    <row r="31" spans="1:9" x14ac:dyDescent="0.2">
      <c r="A31" s="48"/>
      <c r="B31" s="17" t="s">
        <v>206</v>
      </c>
      <c r="C31" s="142" t="s">
        <v>402</v>
      </c>
      <c r="D31" s="118"/>
      <c r="E31" s="38">
        <f>'Stavební rozpočet'!J99</f>
        <v>0</v>
      </c>
      <c r="F31" s="38">
        <f>'Stavební rozpočet'!K99</f>
        <v>0</v>
      </c>
      <c r="G31" s="38">
        <f>'Stavební rozpočet'!L99</f>
        <v>0</v>
      </c>
      <c r="H31" s="38" t="s">
        <v>630</v>
      </c>
      <c r="I31" s="38">
        <f t="shared" si="0"/>
        <v>0</v>
      </c>
    </row>
    <row r="32" spans="1:9" x14ac:dyDescent="0.2">
      <c r="A32" s="48"/>
      <c r="B32" s="17" t="s">
        <v>96</v>
      </c>
      <c r="C32" s="142" t="s">
        <v>405</v>
      </c>
      <c r="D32" s="118"/>
      <c r="E32" s="38">
        <f>'Stavební rozpočet'!J102</f>
        <v>0</v>
      </c>
      <c r="F32" s="38">
        <f>'Stavební rozpočet'!K102</f>
        <v>0</v>
      </c>
      <c r="G32" s="38">
        <f>'Stavební rozpočet'!L102</f>
        <v>0</v>
      </c>
      <c r="H32" s="38" t="s">
        <v>630</v>
      </c>
      <c r="I32" s="38">
        <f t="shared" si="0"/>
        <v>0</v>
      </c>
    </row>
    <row r="33" spans="1:9" x14ac:dyDescent="0.2">
      <c r="A33" s="48"/>
      <c r="B33" s="17" t="s">
        <v>100</v>
      </c>
      <c r="C33" s="142" t="s">
        <v>421</v>
      </c>
      <c r="D33" s="118"/>
      <c r="E33" s="38">
        <f>'Stavební rozpočet'!J119</f>
        <v>0</v>
      </c>
      <c r="F33" s="38">
        <f>'Stavební rozpočet'!K119</f>
        <v>0</v>
      </c>
      <c r="G33" s="38">
        <f>'Stavební rozpočet'!L119</f>
        <v>0</v>
      </c>
      <c r="H33" s="38" t="s">
        <v>630</v>
      </c>
      <c r="I33" s="38">
        <f t="shared" si="0"/>
        <v>0</v>
      </c>
    </row>
    <row r="34" spans="1:9" x14ac:dyDescent="0.2">
      <c r="A34" s="48"/>
      <c r="B34" s="17" t="s">
        <v>101</v>
      </c>
      <c r="C34" s="142" t="s">
        <v>426</v>
      </c>
      <c r="D34" s="118"/>
      <c r="E34" s="38">
        <f>'Stavební rozpočet'!J124</f>
        <v>0</v>
      </c>
      <c r="F34" s="38">
        <f>'Stavební rozpočet'!K124</f>
        <v>0</v>
      </c>
      <c r="G34" s="38">
        <f>'Stavební rozpočet'!L124</f>
        <v>0</v>
      </c>
      <c r="H34" s="38" t="s">
        <v>630</v>
      </c>
      <c r="I34" s="38">
        <f t="shared" si="0"/>
        <v>0</v>
      </c>
    </row>
    <row r="35" spans="1:9" x14ac:dyDescent="0.2">
      <c r="A35" s="48"/>
      <c r="B35" s="17" t="s">
        <v>102</v>
      </c>
      <c r="C35" s="142" t="s">
        <v>429</v>
      </c>
      <c r="D35" s="118"/>
      <c r="E35" s="38">
        <f>'Stavební rozpočet'!J127</f>
        <v>0</v>
      </c>
      <c r="F35" s="38">
        <f>'Stavební rozpočet'!K127</f>
        <v>0</v>
      </c>
      <c r="G35" s="38">
        <f>'Stavební rozpočet'!L127</f>
        <v>0</v>
      </c>
      <c r="H35" s="38" t="s">
        <v>630</v>
      </c>
      <c r="I35" s="38">
        <f t="shared" si="0"/>
        <v>0</v>
      </c>
    </row>
    <row r="36" spans="1:9" x14ac:dyDescent="0.2">
      <c r="A36" s="48"/>
      <c r="B36" s="17" t="s">
        <v>103</v>
      </c>
      <c r="C36" s="142" t="s">
        <v>434</v>
      </c>
      <c r="D36" s="118"/>
      <c r="E36" s="38">
        <f>'Stavební rozpočet'!J132</f>
        <v>0</v>
      </c>
      <c r="F36" s="38">
        <f>'Stavební rozpočet'!K132</f>
        <v>0</v>
      </c>
      <c r="G36" s="38">
        <f>'Stavební rozpočet'!L132</f>
        <v>0</v>
      </c>
      <c r="H36" s="38" t="s">
        <v>630</v>
      </c>
      <c r="I36" s="38">
        <f t="shared" si="0"/>
        <v>0</v>
      </c>
    </row>
    <row r="37" spans="1:9" x14ac:dyDescent="0.2">
      <c r="A37" s="48"/>
      <c r="B37" s="17" t="s">
        <v>224</v>
      </c>
      <c r="C37" s="142" t="s">
        <v>437</v>
      </c>
      <c r="D37" s="118"/>
      <c r="E37" s="38">
        <f>'Stavební rozpočet'!J135</f>
        <v>0</v>
      </c>
      <c r="F37" s="38">
        <f>'Stavební rozpočet'!K135</f>
        <v>0</v>
      </c>
      <c r="G37" s="38">
        <f>'Stavební rozpočet'!L135</f>
        <v>0</v>
      </c>
      <c r="H37" s="38" t="s">
        <v>630</v>
      </c>
      <c r="I37" s="38">
        <f t="shared" si="0"/>
        <v>0</v>
      </c>
    </row>
    <row r="38" spans="1:9" x14ac:dyDescent="0.2">
      <c r="A38" s="48"/>
      <c r="B38" s="17" t="s">
        <v>226</v>
      </c>
      <c r="C38" s="142" t="s">
        <v>439</v>
      </c>
      <c r="D38" s="118"/>
      <c r="E38" s="38">
        <f>'Stavební rozpočet'!J137</f>
        <v>0</v>
      </c>
      <c r="F38" s="38">
        <f>'Stavební rozpočet'!K137</f>
        <v>0</v>
      </c>
      <c r="G38" s="38">
        <f>'Stavební rozpočet'!L137</f>
        <v>0</v>
      </c>
      <c r="H38" s="38" t="s">
        <v>630</v>
      </c>
      <c r="I38" s="38">
        <f t="shared" si="0"/>
        <v>0</v>
      </c>
    </row>
    <row r="39" spans="1:9" x14ac:dyDescent="0.2">
      <c r="A39" s="48"/>
      <c r="B39" s="17" t="s">
        <v>231</v>
      </c>
      <c r="C39" s="142" t="s">
        <v>446</v>
      </c>
      <c r="D39" s="118"/>
      <c r="E39" s="38">
        <f>'Stavební rozpočet'!J145</f>
        <v>0</v>
      </c>
      <c r="F39" s="38">
        <f>'Stavební rozpočet'!K145</f>
        <v>0</v>
      </c>
      <c r="G39" s="38">
        <f>'Stavební rozpočet'!L145</f>
        <v>0</v>
      </c>
      <c r="H39" s="38" t="s">
        <v>630</v>
      </c>
      <c r="I39" s="38">
        <f t="shared" si="0"/>
        <v>0</v>
      </c>
    </row>
    <row r="40" spans="1:9" x14ac:dyDescent="0.2">
      <c r="A40" s="48"/>
      <c r="B40" s="17" t="s">
        <v>233</v>
      </c>
      <c r="C40" s="142" t="s">
        <v>449</v>
      </c>
      <c r="D40" s="118"/>
      <c r="E40" s="38">
        <f>'Stavební rozpočet'!J148</f>
        <v>0</v>
      </c>
      <c r="F40" s="38">
        <f>'Stavební rozpočet'!K148</f>
        <v>0</v>
      </c>
      <c r="G40" s="38">
        <f>'Stavební rozpočet'!L148</f>
        <v>0</v>
      </c>
      <c r="H40" s="38" t="s">
        <v>630</v>
      </c>
      <c r="I40" s="38">
        <f t="shared" si="0"/>
        <v>0</v>
      </c>
    </row>
    <row r="41" spans="1:9" x14ac:dyDescent="0.2">
      <c r="A41" s="48"/>
      <c r="B41" s="17" t="s">
        <v>238</v>
      </c>
      <c r="C41" s="142" t="s">
        <v>455</v>
      </c>
      <c r="D41" s="118"/>
      <c r="E41" s="38">
        <f>'Stavební rozpočet'!J154</f>
        <v>0</v>
      </c>
      <c r="F41" s="38">
        <f>'Stavební rozpočet'!K154</f>
        <v>0</v>
      </c>
      <c r="G41" s="38">
        <f>'Stavební rozpočet'!L154</f>
        <v>0</v>
      </c>
      <c r="H41" s="38" t="s">
        <v>630</v>
      </c>
      <c r="I41" s="38">
        <f t="shared" si="0"/>
        <v>0</v>
      </c>
    </row>
    <row r="42" spans="1:9" x14ac:dyDescent="0.2">
      <c r="A42" s="48"/>
      <c r="B42" s="17" t="s">
        <v>259</v>
      </c>
      <c r="C42" s="142" t="s">
        <v>476</v>
      </c>
      <c r="D42" s="118"/>
      <c r="E42" s="38">
        <f>'Stavební rozpočet'!J175</f>
        <v>0</v>
      </c>
      <c r="F42" s="38">
        <f>'Stavební rozpočet'!K175</f>
        <v>0</v>
      </c>
      <c r="G42" s="38">
        <f>'Stavební rozpočet'!L175</f>
        <v>0</v>
      </c>
      <c r="H42" s="38" t="s">
        <v>630</v>
      </c>
      <c r="I42" s="38">
        <f t="shared" si="0"/>
        <v>0</v>
      </c>
    </row>
    <row r="43" spans="1:9" x14ac:dyDescent="0.2">
      <c r="A43" s="48"/>
      <c r="B43" s="17"/>
      <c r="C43" s="142" t="s">
        <v>489</v>
      </c>
      <c r="D43" s="118"/>
      <c r="E43" s="38">
        <f>'Stavební rozpočet'!J188</f>
        <v>0</v>
      </c>
      <c r="F43" s="38">
        <f>'Stavební rozpočet'!K188</f>
        <v>0</v>
      </c>
      <c r="G43" s="38">
        <f>'Stavební rozpočet'!L188</f>
        <v>0</v>
      </c>
      <c r="H43" s="38" t="s">
        <v>630</v>
      </c>
      <c r="I43" s="38">
        <f t="shared" si="0"/>
        <v>0</v>
      </c>
    </row>
    <row r="44" spans="1:9" x14ac:dyDescent="0.2">
      <c r="F44" s="54" t="s">
        <v>559</v>
      </c>
      <c r="G44" s="56">
        <f>SUM(I11:I43)</f>
        <v>0</v>
      </c>
    </row>
  </sheetData>
  <sheetProtection algorithmName="SHA-512" hashValue="SPQdwIF0zPf5jcYjJmeLBAEfCspIU1MBjPO1i+yEMj5flP9YvBL9Aiif2zmG752ugvuHmcFZ1ICG6HkL+K0qIw==" saltValue="RJ21DUVz/TTI69iv4i940w==" spinCount="100000" sheet="1" objects="1" scenarios="1"/>
  <mergeCells count="58"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67"/>
  <sheetViews>
    <sheetView workbookViewId="0">
      <pane ySplit="10" topLeftCell="A29" activePane="bottomLeft" state="frozenSplit"/>
      <selection pane="bottomLeft" activeCell="D42" sqref="D42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76.28515625" customWidth="1"/>
    <col min="5" max="5" width="44.85546875" customWidth="1"/>
    <col min="6" max="6" width="24.140625" customWidth="1"/>
    <col min="7" max="7" width="15.7109375" customWidth="1"/>
    <col min="8" max="8" width="18.140625" customWidth="1"/>
  </cols>
  <sheetData>
    <row r="1" spans="1:9" ht="72.95" customHeight="1" x14ac:dyDescent="0.35">
      <c r="A1" s="191" t="s">
        <v>631</v>
      </c>
      <c r="B1" s="148"/>
      <c r="C1" s="148"/>
      <c r="D1" s="148"/>
      <c r="E1" s="148"/>
      <c r="F1" s="148"/>
      <c r="G1" s="148"/>
      <c r="H1" s="148"/>
    </row>
    <row r="2" spans="1:9" x14ac:dyDescent="0.2">
      <c r="A2" s="149" t="s">
        <v>1</v>
      </c>
      <c r="B2" s="150"/>
      <c r="C2" s="151" t="str">
        <f>'Stavební rozpočet'!C2</f>
        <v>Prodloužení evekuačního výtahu a stavební úpravy 4.NP</v>
      </c>
      <c r="D2" s="152"/>
      <c r="E2" s="154" t="s">
        <v>547</v>
      </c>
      <c r="F2" s="154" t="str">
        <f>'Stavební rozpočet'!J2</f>
        <v>Zámeček Střelice p.o.</v>
      </c>
      <c r="G2" s="150"/>
      <c r="H2" s="194"/>
      <c r="I2" s="5"/>
    </row>
    <row r="3" spans="1:9" x14ac:dyDescent="0.2">
      <c r="A3" s="141"/>
      <c r="B3" s="118"/>
      <c r="C3" s="153"/>
      <c r="D3" s="153"/>
      <c r="E3" s="118"/>
      <c r="F3" s="118"/>
      <c r="G3" s="118"/>
      <c r="H3" s="144"/>
      <c r="I3" s="5"/>
    </row>
    <row r="4" spans="1:9" x14ac:dyDescent="0.2">
      <c r="A4" s="140" t="s">
        <v>2</v>
      </c>
      <c r="B4" s="118"/>
      <c r="C4" s="117" t="str">
        <f>'Stavební rozpočet'!C4</f>
        <v>Stavební úpravy objektu Nového Pavilónu</v>
      </c>
      <c r="D4" s="118"/>
      <c r="E4" s="117" t="s">
        <v>548</v>
      </c>
      <c r="F4" s="117" t="str">
        <f>'Stavební rozpočet'!J4</f>
        <v>Jiří Kratochvíl</v>
      </c>
      <c r="G4" s="118"/>
      <c r="H4" s="144"/>
      <c r="I4" s="5"/>
    </row>
    <row r="5" spans="1:9" x14ac:dyDescent="0.2">
      <c r="A5" s="141"/>
      <c r="B5" s="118"/>
      <c r="C5" s="118"/>
      <c r="D5" s="118"/>
      <c r="E5" s="118"/>
      <c r="F5" s="118"/>
      <c r="G5" s="118"/>
      <c r="H5" s="144"/>
      <c r="I5" s="5"/>
    </row>
    <row r="6" spans="1:9" x14ac:dyDescent="0.2">
      <c r="A6" s="140" t="s">
        <v>3</v>
      </c>
      <c r="B6" s="118"/>
      <c r="C6" s="117" t="str">
        <f>'Stavební rozpočet'!C6</f>
        <v>Areál Zámečku Střelice</v>
      </c>
      <c r="D6" s="118"/>
      <c r="E6" s="117" t="s">
        <v>549</v>
      </c>
      <c r="F6" s="117" t="str">
        <f>'Stavební rozpočet'!J6</f>
        <v> </v>
      </c>
      <c r="G6" s="118"/>
      <c r="H6" s="144"/>
      <c r="I6" s="5"/>
    </row>
    <row r="7" spans="1:9" x14ac:dyDescent="0.2">
      <c r="A7" s="141"/>
      <c r="B7" s="118"/>
      <c r="C7" s="118"/>
      <c r="D7" s="118"/>
      <c r="E7" s="118"/>
      <c r="F7" s="118"/>
      <c r="G7" s="118"/>
      <c r="H7" s="144"/>
      <c r="I7" s="5"/>
    </row>
    <row r="8" spans="1:9" x14ac:dyDescent="0.2">
      <c r="A8" s="140" t="s">
        <v>550</v>
      </c>
      <c r="B8" s="118"/>
      <c r="C8" s="117" t="str">
        <f>'Stavební rozpočet'!J8</f>
        <v>Ing. Jiří Kratochvíl</v>
      </c>
      <c r="D8" s="118"/>
      <c r="E8" s="117" t="s">
        <v>534</v>
      </c>
      <c r="F8" s="117" t="str">
        <f>'Stavební rozpočet'!G8</f>
        <v>20.11.2023</v>
      </c>
      <c r="G8" s="118"/>
      <c r="H8" s="144"/>
      <c r="I8" s="5"/>
    </row>
    <row r="9" spans="1:9" x14ac:dyDescent="0.2">
      <c r="A9" s="184"/>
      <c r="B9" s="185"/>
      <c r="C9" s="185"/>
      <c r="D9" s="185"/>
      <c r="E9" s="185"/>
      <c r="F9" s="185"/>
      <c r="G9" s="185"/>
      <c r="H9" s="197"/>
      <c r="I9" s="5"/>
    </row>
    <row r="10" spans="1:9" x14ac:dyDescent="0.2">
      <c r="A10" s="49" t="s">
        <v>5</v>
      </c>
      <c r="B10" s="51" t="s">
        <v>625</v>
      </c>
      <c r="C10" s="51" t="s">
        <v>152</v>
      </c>
      <c r="D10" s="202" t="s">
        <v>314</v>
      </c>
      <c r="E10" s="203"/>
      <c r="F10" s="51" t="s">
        <v>536</v>
      </c>
      <c r="G10" s="60" t="s">
        <v>546</v>
      </c>
      <c r="H10" s="64" t="s">
        <v>717</v>
      </c>
      <c r="I10" s="36"/>
    </row>
    <row r="11" spans="1:9" x14ac:dyDescent="0.2">
      <c r="A11" s="57"/>
      <c r="B11" s="12"/>
      <c r="C11" s="12" t="s">
        <v>153</v>
      </c>
      <c r="D11" s="182" t="s">
        <v>316</v>
      </c>
      <c r="E11" s="183"/>
      <c r="F11" s="12"/>
      <c r="G11" s="61"/>
      <c r="H11" s="32"/>
      <c r="I11" s="5"/>
    </row>
    <row r="12" spans="1:9" x14ac:dyDescent="0.2">
      <c r="A12" s="4" t="s">
        <v>7</v>
      </c>
      <c r="B12" s="13"/>
      <c r="C12" s="13" t="s">
        <v>154</v>
      </c>
      <c r="D12" s="164" t="s">
        <v>317</v>
      </c>
      <c r="E12" s="165"/>
      <c r="F12" s="13" t="s">
        <v>537</v>
      </c>
      <c r="G12" s="21">
        <v>1.7</v>
      </c>
      <c r="H12" s="65">
        <v>0</v>
      </c>
      <c r="I12" s="5"/>
    </row>
    <row r="13" spans="1:9" x14ac:dyDescent="0.2">
      <c r="A13" s="58"/>
      <c r="B13" s="15"/>
      <c r="C13" s="15" t="s">
        <v>37</v>
      </c>
      <c r="D13" s="166" t="s">
        <v>319</v>
      </c>
      <c r="E13" s="167"/>
      <c r="F13" s="15"/>
      <c r="G13" s="37"/>
      <c r="H13" s="34"/>
      <c r="I13" s="5"/>
    </row>
    <row r="14" spans="1:9" x14ac:dyDescent="0.2">
      <c r="A14" s="4" t="s">
        <v>8</v>
      </c>
      <c r="B14" s="13"/>
      <c r="C14" s="13" t="s">
        <v>156</v>
      </c>
      <c r="D14" s="164" t="s">
        <v>320</v>
      </c>
      <c r="E14" s="165"/>
      <c r="F14" s="13" t="s">
        <v>538</v>
      </c>
      <c r="G14" s="21">
        <v>0.27</v>
      </c>
      <c r="H14" s="65">
        <v>0</v>
      </c>
      <c r="I14" s="5"/>
    </row>
    <row r="15" spans="1:9" x14ac:dyDescent="0.2">
      <c r="A15" s="85" t="s">
        <v>9</v>
      </c>
      <c r="B15" s="86"/>
      <c r="C15" s="86" t="s">
        <v>157</v>
      </c>
      <c r="D15" s="163" t="s">
        <v>322</v>
      </c>
      <c r="E15" s="165"/>
      <c r="F15" s="86" t="s">
        <v>539</v>
      </c>
      <c r="G15" s="87">
        <v>15.4857</v>
      </c>
      <c r="H15" s="88">
        <v>0</v>
      </c>
      <c r="I15" s="5"/>
    </row>
    <row r="16" spans="1:9" ht="12.2" customHeight="1" x14ac:dyDescent="0.2">
      <c r="A16" s="5"/>
      <c r="D16" s="59" t="s">
        <v>632</v>
      </c>
      <c r="E16" s="199" t="s">
        <v>686</v>
      </c>
      <c r="F16" s="200"/>
      <c r="G16" s="62">
        <v>15.4857</v>
      </c>
      <c r="H16" s="66"/>
      <c r="I16" s="5"/>
    </row>
    <row r="17" spans="1:9" x14ac:dyDescent="0.2">
      <c r="A17" s="4" t="s">
        <v>10</v>
      </c>
      <c r="B17" s="13"/>
      <c r="C17" s="13" t="s">
        <v>158</v>
      </c>
      <c r="D17" s="164" t="s">
        <v>324</v>
      </c>
      <c r="E17" s="165"/>
      <c r="F17" s="13" t="s">
        <v>540</v>
      </c>
      <c r="G17" s="21">
        <v>1</v>
      </c>
      <c r="H17" s="65">
        <v>0</v>
      </c>
      <c r="I17" s="5"/>
    </row>
    <row r="18" spans="1:9" x14ac:dyDescent="0.2">
      <c r="A18" s="58"/>
      <c r="B18" s="15"/>
      <c r="C18" s="15" t="s">
        <v>38</v>
      </c>
      <c r="D18" s="166" t="s">
        <v>325</v>
      </c>
      <c r="E18" s="167"/>
      <c r="F18" s="15"/>
      <c r="G18" s="37"/>
      <c r="H18" s="34"/>
      <c r="I18" s="5"/>
    </row>
    <row r="19" spans="1:9" x14ac:dyDescent="0.2">
      <c r="A19" s="4" t="s">
        <v>11</v>
      </c>
      <c r="B19" s="13"/>
      <c r="C19" s="13" t="s">
        <v>159</v>
      </c>
      <c r="D19" s="164" t="s">
        <v>326</v>
      </c>
      <c r="E19" s="165"/>
      <c r="F19" s="13" t="s">
        <v>540</v>
      </c>
      <c r="G19" s="21">
        <v>2</v>
      </c>
      <c r="H19" s="65">
        <v>0</v>
      </c>
      <c r="I19" s="5"/>
    </row>
    <row r="20" spans="1:9" x14ac:dyDescent="0.2">
      <c r="A20" s="58"/>
      <c r="B20" s="15"/>
      <c r="C20" s="15" t="s">
        <v>160</v>
      </c>
      <c r="D20" s="166" t="s">
        <v>328</v>
      </c>
      <c r="E20" s="167"/>
      <c r="F20" s="15"/>
      <c r="G20" s="37"/>
      <c r="H20" s="34"/>
      <c r="I20" s="5"/>
    </row>
    <row r="21" spans="1:9" x14ac:dyDescent="0.2">
      <c r="A21" s="85" t="s">
        <v>12</v>
      </c>
      <c r="B21" s="86"/>
      <c r="C21" s="86" t="s">
        <v>161</v>
      </c>
      <c r="D21" s="163" t="s">
        <v>329</v>
      </c>
      <c r="E21" s="165"/>
      <c r="F21" s="86" t="s">
        <v>541</v>
      </c>
      <c r="G21" s="87">
        <v>221.34</v>
      </c>
      <c r="H21" s="88">
        <v>0</v>
      </c>
      <c r="I21" s="5"/>
    </row>
    <row r="22" spans="1:9" ht="12.2" customHeight="1" x14ac:dyDescent="0.2">
      <c r="A22" s="5"/>
      <c r="D22" s="59" t="s">
        <v>633</v>
      </c>
      <c r="E22" s="199" t="s">
        <v>687</v>
      </c>
      <c r="F22" s="200"/>
      <c r="G22" s="62">
        <v>19.5</v>
      </c>
      <c r="H22" s="66"/>
      <c r="I22" s="5"/>
    </row>
    <row r="23" spans="1:9" ht="12.2" customHeight="1" x14ac:dyDescent="0.2">
      <c r="A23" s="85"/>
      <c r="B23" s="86"/>
      <c r="C23" s="86"/>
      <c r="D23" s="89" t="s">
        <v>634</v>
      </c>
      <c r="E23" s="201" t="s">
        <v>688</v>
      </c>
      <c r="F23" s="199"/>
      <c r="G23" s="90">
        <v>195.9</v>
      </c>
      <c r="H23" s="91"/>
      <c r="I23" s="5"/>
    </row>
    <row r="24" spans="1:9" ht="12.2" customHeight="1" x14ac:dyDescent="0.2">
      <c r="A24" s="85"/>
      <c r="B24" s="86"/>
      <c r="C24" s="86"/>
      <c r="D24" s="89" t="s">
        <v>635</v>
      </c>
      <c r="E24" s="201" t="s">
        <v>689</v>
      </c>
      <c r="F24" s="199"/>
      <c r="G24" s="90">
        <v>5.94</v>
      </c>
      <c r="H24" s="91"/>
      <c r="I24" s="5"/>
    </row>
    <row r="25" spans="1:9" x14ac:dyDescent="0.2">
      <c r="A25" s="58"/>
      <c r="B25" s="15"/>
      <c r="C25" s="15" t="s">
        <v>40</v>
      </c>
      <c r="D25" s="166" t="s">
        <v>330</v>
      </c>
      <c r="E25" s="167"/>
      <c r="F25" s="15"/>
      <c r="G25" s="37"/>
      <c r="H25" s="34"/>
      <c r="I25" s="5"/>
    </row>
    <row r="26" spans="1:9" x14ac:dyDescent="0.2">
      <c r="A26" s="4" t="s">
        <v>13</v>
      </c>
      <c r="B26" s="13"/>
      <c r="C26" s="13" t="s">
        <v>162</v>
      </c>
      <c r="D26" s="164" t="s">
        <v>331</v>
      </c>
      <c r="E26" s="165"/>
      <c r="F26" s="13" t="s">
        <v>541</v>
      </c>
      <c r="G26" s="21">
        <v>13.45</v>
      </c>
      <c r="H26" s="65">
        <v>0</v>
      </c>
      <c r="I26" s="5"/>
    </row>
    <row r="27" spans="1:9" ht="12.2" customHeight="1" x14ac:dyDescent="0.2">
      <c r="A27" s="5"/>
      <c r="D27" s="59" t="s">
        <v>636</v>
      </c>
      <c r="E27" s="199" t="s">
        <v>690</v>
      </c>
      <c r="F27" s="200"/>
      <c r="G27" s="62">
        <v>11.61</v>
      </c>
      <c r="H27" s="66"/>
      <c r="I27" s="5"/>
    </row>
    <row r="28" spans="1:9" ht="12.2" customHeight="1" x14ac:dyDescent="0.2">
      <c r="A28" s="4"/>
      <c r="B28" s="13"/>
      <c r="C28" s="13"/>
      <c r="D28" s="59" t="s">
        <v>637</v>
      </c>
      <c r="E28" s="199" t="s">
        <v>690</v>
      </c>
      <c r="F28" s="199"/>
      <c r="G28" s="62">
        <v>1.84</v>
      </c>
      <c r="H28" s="33"/>
      <c r="I28" s="5"/>
    </row>
    <row r="29" spans="1:9" ht="12.2" customHeight="1" x14ac:dyDescent="0.2">
      <c r="A29" s="4"/>
      <c r="B29" s="13"/>
      <c r="C29" s="13"/>
      <c r="D29" s="59" t="s">
        <v>638</v>
      </c>
      <c r="E29" s="199" t="s">
        <v>691</v>
      </c>
      <c r="F29" s="199"/>
      <c r="G29" s="62">
        <v>0</v>
      </c>
      <c r="H29" s="33"/>
      <c r="I29" s="5"/>
    </row>
    <row r="30" spans="1:9" x14ac:dyDescent="0.2">
      <c r="A30" s="4" t="s">
        <v>14</v>
      </c>
      <c r="B30" s="13"/>
      <c r="C30" s="13" t="s">
        <v>163</v>
      </c>
      <c r="D30" s="164" t="s">
        <v>333</v>
      </c>
      <c r="E30" s="165"/>
      <c r="F30" s="13" t="s">
        <v>541</v>
      </c>
      <c r="G30" s="21">
        <v>7.8</v>
      </c>
      <c r="H30" s="65">
        <v>0</v>
      </c>
      <c r="I30" s="5"/>
    </row>
    <row r="31" spans="1:9" ht="12.2" customHeight="1" x14ac:dyDescent="0.2">
      <c r="A31" s="5"/>
      <c r="D31" s="59" t="s">
        <v>639</v>
      </c>
      <c r="E31" s="199" t="s">
        <v>334</v>
      </c>
      <c r="F31" s="200"/>
      <c r="G31" s="62">
        <v>7.8</v>
      </c>
      <c r="H31" s="66"/>
      <c r="I31" s="5"/>
    </row>
    <row r="32" spans="1:9" x14ac:dyDescent="0.2">
      <c r="A32" s="85" t="s">
        <v>15</v>
      </c>
      <c r="B32" s="86"/>
      <c r="C32" s="86" t="s">
        <v>164</v>
      </c>
      <c r="D32" s="163" t="s">
        <v>333</v>
      </c>
      <c r="E32" s="165"/>
      <c r="F32" s="86" t="s">
        <v>541</v>
      </c>
      <c r="G32" s="87">
        <v>2.6</v>
      </c>
      <c r="H32" s="88">
        <v>0</v>
      </c>
      <c r="I32" s="5"/>
    </row>
    <row r="33" spans="1:9" ht="12.2" customHeight="1" x14ac:dyDescent="0.2">
      <c r="A33" s="5"/>
      <c r="D33" s="59" t="s">
        <v>640</v>
      </c>
      <c r="E33" s="199" t="s">
        <v>692</v>
      </c>
      <c r="F33" s="200"/>
      <c r="G33" s="62">
        <v>2.6</v>
      </c>
      <c r="H33" s="66"/>
      <c r="I33" s="5"/>
    </row>
    <row r="34" spans="1:9" x14ac:dyDescent="0.2">
      <c r="A34" s="4" t="s">
        <v>16</v>
      </c>
      <c r="B34" s="13"/>
      <c r="C34" s="13" t="s">
        <v>165</v>
      </c>
      <c r="D34" s="164" t="s">
        <v>336</v>
      </c>
      <c r="E34" s="165"/>
      <c r="F34" s="13" t="s">
        <v>541</v>
      </c>
      <c r="G34" s="21">
        <v>4.25</v>
      </c>
      <c r="H34" s="65">
        <v>0</v>
      </c>
      <c r="I34" s="5"/>
    </row>
    <row r="35" spans="1:9" ht="12.2" customHeight="1" x14ac:dyDescent="0.2">
      <c r="A35" s="5"/>
      <c r="D35" s="59" t="s">
        <v>641</v>
      </c>
      <c r="E35" s="199"/>
      <c r="F35" s="200"/>
      <c r="G35" s="62">
        <v>4.25</v>
      </c>
      <c r="H35" s="66"/>
      <c r="I35" s="5"/>
    </row>
    <row r="36" spans="1:9" x14ac:dyDescent="0.2">
      <c r="A36" s="4" t="s">
        <v>17</v>
      </c>
      <c r="B36" s="13"/>
      <c r="C36" s="13" t="s">
        <v>166</v>
      </c>
      <c r="D36" s="164" t="s">
        <v>338</v>
      </c>
      <c r="E36" s="165"/>
      <c r="F36" s="13" t="s">
        <v>541</v>
      </c>
      <c r="G36" s="21">
        <v>0.94</v>
      </c>
      <c r="H36" s="65">
        <v>0</v>
      </c>
      <c r="I36" s="5"/>
    </row>
    <row r="37" spans="1:9" ht="12.2" customHeight="1" x14ac:dyDescent="0.2">
      <c r="A37" s="5"/>
      <c r="D37" s="59" t="s">
        <v>642</v>
      </c>
      <c r="E37" s="199" t="s">
        <v>693</v>
      </c>
      <c r="F37" s="200"/>
      <c r="G37" s="62">
        <v>0.94</v>
      </c>
      <c r="H37" s="66"/>
      <c r="I37" s="5"/>
    </row>
    <row r="38" spans="1:9" ht="12.2" customHeight="1" x14ac:dyDescent="0.2">
      <c r="A38" s="4"/>
      <c r="B38" s="13"/>
      <c r="C38" s="13"/>
      <c r="D38" s="59" t="s">
        <v>643</v>
      </c>
      <c r="E38" s="199" t="s">
        <v>693</v>
      </c>
      <c r="F38" s="199"/>
      <c r="G38" s="62">
        <v>0</v>
      </c>
      <c r="H38" s="33"/>
      <c r="I38" s="5"/>
    </row>
    <row r="39" spans="1:9" x14ac:dyDescent="0.2">
      <c r="A39" s="4" t="s">
        <v>18</v>
      </c>
      <c r="B39" s="13"/>
      <c r="C39" s="13" t="s">
        <v>167</v>
      </c>
      <c r="D39" s="164" t="s">
        <v>340</v>
      </c>
      <c r="E39" s="165"/>
      <c r="F39" s="13" t="s">
        <v>541</v>
      </c>
      <c r="G39" s="21">
        <v>3.5</v>
      </c>
      <c r="H39" s="65">
        <v>0</v>
      </c>
      <c r="I39" s="5"/>
    </row>
    <row r="40" spans="1:9" x14ac:dyDescent="0.2">
      <c r="A40" s="58"/>
      <c r="B40" s="15"/>
      <c r="C40" s="15" t="s">
        <v>47</v>
      </c>
      <c r="D40" s="166" t="s">
        <v>341</v>
      </c>
      <c r="E40" s="167"/>
      <c r="F40" s="15"/>
      <c r="G40" s="37"/>
      <c r="H40" s="34"/>
      <c r="I40" s="5"/>
    </row>
    <row r="41" spans="1:9" x14ac:dyDescent="0.2">
      <c r="A41" s="4" t="s">
        <v>19</v>
      </c>
      <c r="B41" s="13"/>
      <c r="C41" s="13" t="s">
        <v>168</v>
      </c>
      <c r="D41" s="164" t="s">
        <v>342</v>
      </c>
      <c r="E41" s="165"/>
      <c r="F41" s="13" t="s">
        <v>541</v>
      </c>
      <c r="G41" s="21">
        <v>21</v>
      </c>
      <c r="H41" s="65">
        <v>0</v>
      </c>
      <c r="I41" s="5"/>
    </row>
    <row r="42" spans="1:9" ht="12.2" customHeight="1" x14ac:dyDescent="0.2">
      <c r="A42" s="5"/>
      <c r="D42" s="59" t="s">
        <v>10</v>
      </c>
      <c r="E42" s="199" t="s">
        <v>694</v>
      </c>
      <c r="F42" s="200"/>
      <c r="G42" s="62">
        <v>4</v>
      </c>
      <c r="H42" s="66"/>
      <c r="I42" s="5"/>
    </row>
    <row r="43" spans="1:9" ht="12.2" customHeight="1" x14ac:dyDescent="0.2">
      <c r="A43" s="4"/>
      <c r="B43" s="13"/>
      <c r="C43" s="13"/>
      <c r="D43" s="59" t="s">
        <v>23</v>
      </c>
      <c r="E43" s="199" t="s">
        <v>695</v>
      </c>
      <c r="F43" s="199"/>
      <c r="G43" s="62">
        <v>17</v>
      </c>
      <c r="H43" s="33"/>
      <c r="I43" s="5"/>
    </row>
    <row r="44" spans="1:9" x14ac:dyDescent="0.2">
      <c r="A44" s="4" t="s">
        <v>20</v>
      </c>
      <c r="B44" s="13"/>
      <c r="C44" s="13" t="s">
        <v>169</v>
      </c>
      <c r="D44" s="164" t="s">
        <v>343</v>
      </c>
      <c r="E44" s="165"/>
      <c r="F44" s="13" t="s">
        <v>537</v>
      </c>
      <c r="G44" s="21">
        <v>22.1</v>
      </c>
      <c r="H44" s="65">
        <v>0</v>
      </c>
      <c r="I44" s="5"/>
    </row>
    <row r="45" spans="1:9" ht="12.2" customHeight="1" x14ac:dyDescent="0.2">
      <c r="A45" s="5"/>
      <c r="D45" s="59" t="s">
        <v>644</v>
      </c>
      <c r="E45" s="199"/>
      <c r="F45" s="200"/>
      <c r="G45" s="62">
        <v>22.1</v>
      </c>
      <c r="H45" s="66"/>
      <c r="I45" s="5"/>
    </row>
    <row r="46" spans="1:9" x14ac:dyDescent="0.2">
      <c r="A46" s="4" t="s">
        <v>21</v>
      </c>
      <c r="B46" s="13"/>
      <c r="C46" s="13" t="s">
        <v>170</v>
      </c>
      <c r="D46" s="164" t="s">
        <v>345</v>
      </c>
      <c r="E46" s="165"/>
      <c r="F46" s="13" t="s">
        <v>541</v>
      </c>
      <c r="G46" s="21">
        <v>2.16</v>
      </c>
      <c r="H46" s="65">
        <v>0</v>
      </c>
      <c r="I46" s="5"/>
    </row>
    <row r="47" spans="1:9" ht="12.2" customHeight="1" x14ac:dyDescent="0.2">
      <c r="A47" s="5"/>
      <c r="D47" s="59" t="s">
        <v>645</v>
      </c>
      <c r="E47" s="199"/>
      <c r="F47" s="200"/>
      <c r="G47" s="62">
        <v>0.33</v>
      </c>
      <c r="H47" s="66"/>
      <c r="I47" s="5"/>
    </row>
    <row r="48" spans="1:9" ht="12.2" customHeight="1" x14ac:dyDescent="0.2">
      <c r="A48" s="4"/>
      <c r="B48" s="13"/>
      <c r="C48" s="13"/>
      <c r="D48" s="59" t="s">
        <v>646</v>
      </c>
      <c r="E48" s="199"/>
      <c r="F48" s="199"/>
      <c r="G48" s="62">
        <v>0.72</v>
      </c>
      <c r="H48" s="33"/>
      <c r="I48" s="5"/>
    </row>
    <row r="49" spans="1:9" ht="12.2" customHeight="1" x14ac:dyDescent="0.2">
      <c r="A49" s="4"/>
      <c r="B49" s="13"/>
      <c r="C49" s="13"/>
      <c r="D49" s="59" t="s">
        <v>647</v>
      </c>
      <c r="E49" s="199"/>
      <c r="F49" s="199"/>
      <c r="G49" s="62">
        <v>0.51</v>
      </c>
      <c r="H49" s="33"/>
      <c r="I49" s="5"/>
    </row>
    <row r="50" spans="1:9" ht="12.2" customHeight="1" x14ac:dyDescent="0.2">
      <c r="A50" s="4"/>
      <c r="B50" s="13"/>
      <c r="C50" s="13"/>
      <c r="D50" s="59" t="s">
        <v>648</v>
      </c>
      <c r="E50" s="199"/>
      <c r="F50" s="199"/>
      <c r="G50" s="62">
        <v>0.6</v>
      </c>
      <c r="H50" s="33"/>
      <c r="I50" s="5"/>
    </row>
    <row r="51" spans="1:9" x14ac:dyDescent="0.2">
      <c r="A51" s="58"/>
      <c r="B51" s="15"/>
      <c r="C51" s="15" t="s">
        <v>50</v>
      </c>
      <c r="D51" s="166" t="s">
        <v>347</v>
      </c>
      <c r="E51" s="167"/>
      <c r="F51" s="15"/>
      <c r="G51" s="37"/>
      <c r="H51" s="34"/>
      <c r="I51" s="5"/>
    </row>
    <row r="52" spans="1:9" x14ac:dyDescent="0.2">
      <c r="A52" s="4" t="s">
        <v>22</v>
      </c>
      <c r="B52" s="13"/>
      <c r="C52" s="13" t="s">
        <v>171</v>
      </c>
      <c r="D52" s="164" t="s">
        <v>348</v>
      </c>
      <c r="E52" s="165"/>
      <c r="F52" s="13" t="s">
        <v>541</v>
      </c>
      <c r="G52" s="21">
        <v>30</v>
      </c>
      <c r="H52" s="65">
        <v>0</v>
      </c>
      <c r="I52" s="5"/>
    </row>
    <row r="53" spans="1:9" x14ac:dyDescent="0.2">
      <c r="A53" s="4" t="s">
        <v>23</v>
      </c>
      <c r="B53" s="13"/>
      <c r="C53" s="13" t="s">
        <v>172</v>
      </c>
      <c r="D53" s="164" t="s">
        <v>349</v>
      </c>
      <c r="E53" s="165"/>
      <c r="F53" s="13" t="s">
        <v>541</v>
      </c>
      <c r="G53" s="21">
        <v>30</v>
      </c>
      <c r="H53" s="65">
        <v>0</v>
      </c>
      <c r="I53" s="5"/>
    </row>
    <row r="54" spans="1:9" x14ac:dyDescent="0.2">
      <c r="A54" s="58"/>
      <c r="B54" s="15"/>
      <c r="C54" s="15" t="s">
        <v>67</v>
      </c>
      <c r="D54" s="166" t="s">
        <v>350</v>
      </c>
      <c r="E54" s="167"/>
      <c r="F54" s="15"/>
      <c r="G54" s="37"/>
      <c r="H54" s="34"/>
      <c r="I54" s="5"/>
    </row>
    <row r="55" spans="1:9" x14ac:dyDescent="0.2">
      <c r="A55" s="85" t="s">
        <v>24</v>
      </c>
      <c r="B55" s="86"/>
      <c r="C55" s="86" t="s">
        <v>173</v>
      </c>
      <c r="D55" s="163" t="s">
        <v>351</v>
      </c>
      <c r="E55" s="165"/>
      <c r="F55" s="86" t="s">
        <v>541</v>
      </c>
      <c r="G55" s="87">
        <v>64.62</v>
      </c>
      <c r="H55" s="88">
        <v>0</v>
      </c>
      <c r="I55" s="5"/>
    </row>
    <row r="56" spans="1:9" ht="12.2" customHeight="1" x14ac:dyDescent="0.2">
      <c r="A56" s="5"/>
      <c r="D56" s="59" t="s">
        <v>649</v>
      </c>
      <c r="E56" s="199" t="s">
        <v>687</v>
      </c>
      <c r="F56" s="200"/>
      <c r="G56" s="62">
        <v>5.85</v>
      </c>
      <c r="H56" s="66"/>
      <c r="I56" s="5"/>
    </row>
    <row r="57" spans="1:9" ht="12.2" customHeight="1" x14ac:dyDescent="0.2">
      <c r="A57" s="85"/>
      <c r="B57" s="86"/>
      <c r="C57" s="86"/>
      <c r="D57" s="89" t="s">
        <v>650</v>
      </c>
      <c r="E57" s="201" t="s">
        <v>688</v>
      </c>
      <c r="F57" s="199"/>
      <c r="G57" s="90">
        <v>58.77</v>
      </c>
      <c r="H57" s="91"/>
      <c r="I57" s="5"/>
    </row>
    <row r="58" spans="1:9" x14ac:dyDescent="0.2">
      <c r="A58" s="4" t="s">
        <v>25</v>
      </c>
      <c r="B58" s="13"/>
      <c r="C58" s="13" t="s">
        <v>174</v>
      </c>
      <c r="D58" s="164" t="s">
        <v>353</v>
      </c>
      <c r="E58" s="165"/>
      <c r="F58" s="13" t="s">
        <v>541</v>
      </c>
      <c r="G58" s="21">
        <v>9.65</v>
      </c>
      <c r="H58" s="65">
        <v>0</v>
      </c>
      <c r="I58" s="5"/>
    </row>
    <row r="59" spans="1:9" ht="12.2" customHeight="1" x14ac:dyDescent="0.2">
      <c r="A59" s="5"/>
      <c r="D59" s="59" t="s">
        <v>651</v>
      </c>
      <c r="E59" s="199" t="s">
        <v>687</v>
      </c>
      <c r="F59" s="200"/>
      <c r="G59" s="62">
        <v>8.9</v>
      </c>
      <c r="H59" s="66"/>
      <c r="I59" s="5"/>
    </row>
    <row r="60" spans="1:9" ht="12.2" customHeight="1" x14ac:dyDescent="0.2">
      <c r="A60" s="4"/>
      <c r="B60" s="13"/>
      <c r="C60" s="13"/>
      <c r="D60" s="59" t="s">
        <v>652</v>
      </c>
      <c r="E60" s="199" t="s">
        <v>696</v>
      </c>
      <c r="F60" s="199"/>
      <c r="G60" s="62">
        <v>0.75</v>
      </c>
      <c r="H60" s="33"/>
      <c r="I60" s="5"/>
    </row>
    <row r="61" spans="1:9" x14ac:dyDescent="0.2">
      <c r="A61" s="4" t="s">
        <v>26</v>
      </c>
      <c r="B61" s="13"/>
      <c r="C61" s="13" t="s">
        <v>175</v>
      </c>
      <c r="D61" s="164" t="s">
        <v>354</v>
      </c>
      <c r="E61" s="165"/>
      <c r="F61" s="13" t="s">
        <v>541</v>
      </c>
      <c r="G61" s="21">
        <v>1.95</v>
      </c>
      <c r="H61" s="65">
        <v>0</v>
      </c>
      <c r="I61" s="5"/>
    </row>
    <row r="62" spans="1:9" ht="12.2" customHeight="1" x14ac:dyDescent="0.2">
      <c r="A62" s="5"/>
      <c r="D62" s="59" t="s">
        <v>653</v>
      </c>
      <c r="E62" s="199" t="s">
        <v>687</v>
      </c>
      <c r="F62" s="200"/>
      <c r="G62" s="62">
        <v>1.95</v>
      </c>
      <c r="H62" s="66"/>
      <c r="I62" s="5"/>
    </row>
    <row r="63" spans="1:9" x14ac:dyDescent="0.2">
      <c r="A63" s="58"/>
      <c r="B63" s="15"/>
      <c r="C63" s="15" t="s">
        <v>68</v>
      </c>
      <c r="D63" s="166" t="s">
        <v>355</v>
      </c>
      <c r="E63" s="167"/>
      <c r="F63" s="15"/>
      <c r="G63" s="37"/>
      <c r="H63" s="34"/>
      <c r="I63" s="5"/>
    </row>
    <row r="64" spans="1:9" x14ac:dyDescent="0.2">
      <c r="A64" s="4" t="s">
        <v>27</v>
      </c>
      <c r="B64" s="13"/>
      <c r="C64" s="13" t="s">
        <v>176</v>
      </c>
      <c r="D64" s="164" t="s">
        <v>356</v>
      </c>
      <c r="E64" s="165"/>
      <c r="F64" s="13" t="s">
        <v>541</v>
      </c>
      <c r="G64" s="21">
        <v>53.619</v>
      </c>
      <c r="H64" s="65">
        <v>0</v>
      </c>
      <c r="I64" s="5"/>
    </row>
    <row r="65" spans="1:9" ht="12.2" customHeight="1" x14ac:dyDescent="0.2">
      <c r="A65" s="5"/>
      <c r="D65" s="59" t="s">
        <v>654</v>
      </c>
      <c r="E65" s="199"/>
      <c r="F65" s="200"/>
      <c r="G65" s="62">
        <v>53.619</v>
      </c>
      <c r="H65" s="66"/>
      <c r="I65" s="5"/>
    </row>
    <row r="66" spans="1:9" x14ac:dyDescent="0.2">
      <c r="A66" s="58"/>
      <c r="B66" s="15"/>
      <c r="C66" s="15" t="s">
        <v>69</v>
      </c>
      <c r="D66" s="166" t="s">
        <v>358</v>
      </c>
      <c r="E66" s="167"/>
      <c r="F66" s="15"/>
      <c r="G66" s="37"/>
      <c r="H66" s="34"/>
      <c r="I66" s="5"/>
    </row>
    <row r="67" spans="1:9" x14ac:dyDescent="0.2">
      <c r="A67" s="85" t="s">
        <v>28</v>
      </c>
      <c r="B67" s="86"/>
      <c r="C67" s="86" t="s">
        <v>177</v>
      </c>
      <c r="D67" s="163" t="s">
        <v>359</v>
      </c>
      <c r="E67" s="165"/>
      <c r="F67" s="86" t="s">
        <v>541</v>
      </c>
      <c r="G67" s="87">
        <v>212.6</v>
      </c>
      <c r="H67" s="88">
        <v>0</v>
      </c>
      <c r="I67" s="5"/>
    </row>
    <row r="68" spans="1:9" ht="12.2" customHeight="1" x14ac:dyDescent="0.2">
      <c r="A68" s="5"/>
      <c r="D68" s="59" t="s">
        <v>634</v>
      </c>
      <c r="E68" s="199" t="s">
        <v>688</v>
      </c>
      <c r="F68" s="200"/>
      <c r="G68" s="62">
        <v>195.9</v>
      </c>
      <c r="H68" s="66"/>
      <c r="I68" s="5"/>
    </row>
    <row r="69" spans="1:9" ht="12.2" customHeight="1" x14ac:dyDescent="0.2">
      <c r="A69" s="85"/>
      <c r="B69" s="86"/>
      <c r="C69" s="86"/>
      <c r="D69" s="89" t="s">
        <v>655</v>
      </c>
      <c r="E69" s="201" t="s">
        <v>697</v>
      </c>
      <c r="F69" s="199"/>
      <c r="G69" s="90">
        <v>16.7</v>
      </c>
      <c r="H69" s="91"/>
      <c r="I69" s="5"/>
    </row>
    <row r="70" spans="1:9" x14ac:dyDescent="0.2">
      <c r="A70" s="4" t="s">
        <v>29</v>
      </c>
      <c r="B70" s="13"/>
      <c r="C70" s="13" t="s">
        <v>178</v>
      </c>
      <c r="D70" s="164" t="s">
        <v>361</v>
      </c>
      <c r="E70" s="165"/>
      <c r="F70" s="13" t="s">
        <v>541</v>
      </c>
      <c r="G70" s="21">
        <v>19.5</v>
      </c>
      <c r="H70" s="65">
        <v>0</v>
      </c>
      <c r="I70" s="5"/>
    </row>
    <row r="71" spans="1:9" ht="12.2" customHeight="1" x14ac:dyDescent="0.2">
      <c r="A71" s="5"/>
      <c r="D71" s="59" t="s">
        <v>656</v>
      </c>
      <c r="E71" s="199" t="s">
        <v>687</v>
      </c>
      <c r="F71" s="200"/>
      <c r="G71" s="62">
        <v>19.5</v>
      </c>
      <c r="H71" s="66"/>
      <c r="I71" s="5"/>
    </row>
    <row r="72" spans="1:9" x14ac:dyDescent="0.2">
      <c r="A72" s="58"/>
      <c r="B72" s="15"/>
      <c r="C72" s="15" t="s">
        <v>70</v>
      </c>
      <c r="D72" s="166" t="s">
        <v>363</v>
      </c>
      <c r="E72" s="167"/>
      <c r="F72" s="15"/>
      <c r="G72" s="37"/>
      <c r="H72" s="34"/>
      <c r="I72" s="5"/>
    </row>
    <row r="73" spans="1:9" x14ac:dyDescent="0.2">
      <c r="A73" s="4" t="s">
        <v>30</v>
      </c>
      <c r="B73" s="13"/>
      <c r="C73" s="13" t="s">
        <v>179</v>
      </c>
      <c r="D73" s="164" t="s">
        <v>364</v>
      </c>
      <c r="E73" s="165"/>
      <c r="F73" s="13" t="s">
        <v>540</v>
      </c>
      <c r="G73" s="21">
        <v>6</v>
      </c>
      <c r="H73" s="65">
        <v>0</v>
      </c>
      <c r="I73" s="5"/>
    </row>
    <row r="74" spans="1:9" ht="12.2" customHeight="1" x14ac:dyDescent="0.2">
      <c r="A74" s="5"/>
      <c r="D74" s="59" t="s">
        <v>8</v>
      </c>
      <c r="E74" s="199" t="s">
        <v>687</v>
      </c>
      <c r="F74" s="200"/>
      <c r="G74" s="62">
        <v>2</v>
      </c>
      <c r="H74" s="66"/>
      <c r="I74" s="5"/>
    </row>
    <row r="75" spans="1:9" ht="12.2" customHeight="1" x14ac:dyDescent="0.2">
      <c r="A75" s="4"/>
      <c r="B75" s="13"/>
      <c r="C75" s="13"/>
      <c r="D75" s="59" t="s">
        <v>10</v>
      </c>
      <c r="E75" s="199" t="s">
        <v>688</v>
      </c>
      <c r="F75" s="199"/>
      <c r="G75" s="62">
        <v>4</v>
      </c>
      <c r="H75" s="33"/>
      <c r="I75" s="5"/>
    </row>
    <row r="76" spans="1:9" x14ac:dyDescent="0.2">
      <c r="A76" s="85" t="s">
        <v>31</v>
      </c>
      <c r="B76" s="86"/>
      <c r="C76" s="86" t="s">
        <v>180</v>
      </c>
      <c r="D76" s="163" t="s">
        <v>366</v>
      </c>
      <c r="E76" s="165"/>
      <c r="F76" s="86" t="s">
        <v>540</v>
      </c>
      <c r="G76" s="87">
        <v>2</v>
      </c>
      <c r="H76" s="88">
        <v>0</v>
      </c>
      <c r="I76" s="5"/>
    </row>
    <row r="77" spans="1:9" x14ac:dyDescent="0.2">
      <c r="A77" s="58"/>
      <c r="B77" s="15"/>
      <c r="C77" s="15" t="s">
        <v>181</v>
      </c>
      <c r="D77" s="166" t="s">
        <v>367</v>
      </c>
      <c r="E77" s="167"/>
      <c r="F77" s="15"/>
      <c r="G77" s="37"/>
      <c r="H77" s="34"/>
      <c r="I77" s="5"/>
    </row>
    <row r="78" spans="1:9" x14ac:dyDescent="0.2">
      <c r="A78" s="4" t="s">
        <v>32</v>
      </c>
      <c r="B78" s="13"/>
      <c r="C78" s="13" t="s">
        <v>182</v>
      </c>
      <c r="D78" s="164" t="s">
        <v>368</v>
      </c>
      <c r="E78" s="165"/>
      <c r="F78" s="13" t="s">
        <v>541</v>
      </c>
      <c r="G78" s="21">
        <v>36</v>
      </c>
      <c r="H78" s="65">
        <v>0</v>
      </c>
      <c r="I78" s="5"/>
    </row>
    <row r="79" spans="1:9" ht="12.2" customHeight="1" x14ac:dyDescent="0.2">
      <c r="A79" s="5"/>
      <c r="D79" s="59" t="s">
        <v>657</v>
      </c>
      <c r="E79" s="199"/>
      <c r="F79" s="200"/>
      <c r="G79" s="62">
        <v>36</v>
      </c>
      <c r="H79" s="66"/>
      <c r="I79" s="5"/>
    </row>
    <row r="80" spans="1:9" x14ac:dyDescent="0.2">
      <c r="A80" s="85" t="s">
        <v>33</v>
      </c>
      <c r="B80" s="86"/>
      <c r="C80" s="86" t="s">
        <v>183</v>
      </c>
      <c r="D80" s="163" t="s">
        <v>370</v>
      </c>
      <c r="E80" s="165"/>
      <c r="F80" s="86" t="s">
        <v>541</v>
      </c>
      <c r="G80" s="87">
        <v>1</v>
      </c>
      <c r="H80" s="88">
        <v>0</v>
      </c>
      <c r="I80" s="5"/>
    </row>
    <row r="81" spans="1:9" x14ac:dyDescent="0.2">
      <c r="A81" s="58"/>
      <c r="B81" s="15"/>
      <c r="C81" s="15" t="s">
        <v>184</v>
      </c>
      <c r="D81" s="166" t="s">
        <v>372</v>
      </c>
      <c r="E81" s="167"/>
      <c r="F81" s="15"/>
      <c r="G81" s="37"/>
      <c r="H81" s="34"/>
      <c r="I81" s="5"/>
    </row>
    <row r="82" spans="1:9" x14ac:dyDescent="0.2">
      <c r="A82" s="4" t="s">
        <v>34</v>
      </c>
      <c r="B82" s="13"/>
      <c r="C82" s="13" t="s">
        <v>185</v>
      </c>
      <c r="D82" s="164" t="s">
        <v>373</v>
      </c>
      <c r="E82" s="165"/>
      <c r="F82" s="13" t="s">
        <v>540</v>
      </c>
      <c r="G82" s="21">
        <v>1</v>
      </c>
      <c r="H82" s="65">
        <v>0</v>
      </c>
      <c r="I82" s="5"/>
    </row>
    <row r="83" spans="1:9" x14ac:dyDescent="0.2">
      <c r="A83" s="58"/>
      <c r="B83" s="15"/>
      <c r="C83" s="15" t="s">
        <v>186</v>
      </c>
      <c r="D83" s="166" t="s">
        <v>374</v>
      </c>
      <c r="E83" s="167"/>
      <c r="F83" s="15"/>
      <c r="G83" s="37"/>
      <c r="H83" s="34"/>
      <c r="I83" s="5"/>
    </row>
    <row r="84" spans="1:9" x14ac:dyDescent="0.2">
      <c r="A84" s="4" t="s">
        <v>35</v>
      </c>
      <c r="B84" s="13"/>
      <c r="C84" s="13" t="s">
        <v>187</v>
      </c>
      <c r="D84" s="164" t="s">
        <v>375</v>
      </c>
      <c r="E84" s="165"/>
      <c r="F84" s="13" t="s">
        <v>541</v>
      </c>
      <c r="G84" s="21">
        <v>15</v>
      </c>
      <c r="H84" s="65">
        <v>0</v>
      </c>
      <c r="I84" s="5"/>
    </row>
    <row r="85" spans="1:9" x14ac:dyDescent="0.2">
      <c r="A85" s="4" t="s">
        <v>36</v>
      </c>
      <c r="B85" s="13"/>
      <c r="C85" s="13" t="s">
        <v>188</v>
      </c>
      <c r="D85" s="164" t="s">
        <v>377</v>
      </c>
      <c r="E85" s="165"/>
      <c r="F85" s="13" t="s">
        <v>537</v>
      </c>
      <c r="G85" s="21">
        <v>63</v>
      </c>
      <c r="H85" s="65">
        <v>0</v>
      </c>
      <c r="I85" s="5"/>
    </row>
    <row r="86" spans="1:9" ht="12.2" customHeight="1" x14ac:dyDescent="0.2">
      <c r="A86" s="5"/>
      <c r="D86" s="59" t="s">
        <v>658</v>
      </c>
      <c r="E86" s="199"/>
      <c r="F86" s="200"/>
      <c r="G86" s="62">
        <v>63</v>
      </c>
      <c r="H86" s="66"/>
      <c r="I86" s="5"/>
    </row>
    <row r="87" spans="1:9" x14ac:dyDescent="0.2">
      <c r="A87" s="4" t="s">
        <v>37</v>
      </c>
      <c r="B87" s="13"/>
      <c r="C87" s="13" t="s">
        <v>189</v>
      </c>
      <c r="D87" s="164" t="s">
        <v>378</v>
      </c>
      <c r="E87" s="165"/>
      <c r="F87" s="13" t="s">
        <v>541</v>
      </c>
      <c r="G87" s="21">
        <v>25</v>
      </c>
      <c r="H87" s="65">
        <v>0</v>
      </c>
      <c r="I87" s="5"/>
    </row>
    <row r="88" spans="1:9" x14ac:dyDescent="0.2">
      <c r="A88" s="58"/>
      <c r="B88" s="15"/>
      <c r="C88" s="15" t="s">
        <v>190</v>
      </c>
      <c r="D88" s="166" t="s">
        <v>380</v>
      </c>
      <c r="E88" s="167"/>
      <c r="F88" s="15"/>
      <c r="G88" s="37"/>
      <c r="H88" s="34"/>
      <c r="I88" s="5"/>
    </row>
    <row r="89" spans="1:9" x14ac:dyDescent="0.2">
      <c r="A89" s="4" t="s">
        <v>38</v>
      </c>
      <c r="B89" s="13"/>
      <c r="C89" s="13" t="s">
        <v>191</v>
      </c>
      <c r="D89" s="164" t="s">
        <v>381</v>
      </c>
      <c r="E89" s="165"/>
      <c r="F89" s="13" t="s">
        <v>537</v>
      </c>
      <c r="G89" s="21">
        <v>3</v>
      </c>
      <c r="H89" s="65">
        <v>0</v>
      </c>
      <c r="I89" s="5"/>
    </row>
    <row r="90" spans="1:9" x14ac:dyDescent="0.2">
      <c r="A90" s="4" t="s">
        <v>39</v>
      </c>
      <c r="B90" s="13"/>
      <c r="C90" s="13" t="s">
        <v>192</v>
      </c>
      <c r="D90" s="164" t="s">
        <v>382</v>
      </c>
      <c r="E90" s="165"/>
      <c r="F90" s="13" t="s">
        <v>540</v>
      </c>
      <c r="G90" s="21">
        <v>2</v>
      </c>
      <c r="H90" s="65">
        <v>0</v>
      </c>
      <c r="I90" s="5"/>
    </row>
    <row r="91" spans="1:9" x14ac:dyDescent="0.2">
      <c r="A91" s="58"/>
      <c r="B91" s="15"/>
      <c r="C91" s="15" t="s">
        <v>193</v>
      </c>
      <c r="D91" s="166" t="s">
        <v>383</v>
      </c>
      <c r="E91" s="167"/>
      <c r="F91" s="15"/>
      <c r="G91" s="37"/>
      <c r="H91" s="34"/>
      <c r="I91" s="5"/>
    </row>
    <row r="92" spans="1:9" x14ac:dyDescent="0.2">
      <c r="A92" s="4" t="s">
        <v>40</v>
      </c>
      <c r="B92" s="13"/>
      <c r="C92" s="13" t="s">
        <v>194</v>
      </c>
      <c r="D92" s="164" t="s">
        <v>384</v>
      </c>
      <c r="E92" s="165"/>
      <c r="F92" s="13" t="s">
        <v>541</v>
      </c>
      <c r="G92" s="21">
        <v>9</v>
      </c>
      <c r="H92" s="65">
        <v>0</v>
      </c>
      <c r="I92" s="5"/>
    </row>
    <row r="93" spans="1:9" ht="12.2" customHeight="1" x14ac:dyDescent="0.2">
      <c r="A93" s="5"/>
      <c r="D93" s="59" t="s">
        <v>8</v>
      </c>
      <c r="E93" s="199" t="s">
        <v>687</v>
      </c>
      <c r="F93" s="200"/>
      <c r="G93" s="62">
        <v>2</v>
      </c>
      <c r="H93" s="66"/>
      <c r="I93" s="5"/>
    </row>
    <row r="94" spans="1:9" ht="12.2" customHeight="1" x14ac:dyDescent="0.2">
      <c r="A94" s="4"/>
      <c r="B94" s="13"/>
      <c r="C94" s="13"/>
      <c r="D94" s="59" t="s">
        <v>13</v>
      </c>
      <c r="E94" s="199" t="s">
        <v>688</v>
      </c>
      <c r="F94" s="199"/>
      <c r="G94" s="62">
        <v>7</v>
      </c>
      <c r="H94" s="33"/>
      <c r="I94" s="5"/>
    </row>
    <row r="95" spans="1:9" x14ac:dyDescent="0.2">
      <c r="A95" s="58"/>
      <c r="B95" s="15"/>
      <c r="C95" s="15" t="s">
        <v>195</v>
      </c>
      <c r="D95" s="166" t="s">
        <v>385</v>
      </c>
      <c r="E95" s="167"/>
      <c r="F95" s="15"/>
      <c r="G95" s="37"/>
      <c r="H95" s="34"/>
      <c r="I95" s="5"/>
    </row>
    <row r="96" spans="1:9" x14ac:dyDescent="0.2">
      <c r="A96" s="4" t="s">
        <v>41</v>
      </c>
      <c r="B96" s="13"/>
      <c r="C96" s="13" t="s">
        <v>196</v>
      </c>
      <c r="D96" s="164" t="s">
        <v>386</v>
      </c>
      <c r="E96" s="165"/>
      <c r="F96" s="13" t="s">
        <v>537</v>
      </c>
      <c r="G96" s="21">
        <v>1.7</v>
      </c>
      <c r="H96" s="65">
        <v>0</v>
      </c>
      <c r="I96" s="5"/>
    </row>
    <row r="97" spans="1:9" x14ac:dyDescent="0.2">
      <c r="A97" s="58"/>
      <c r="B97" s="15"/>
      <c r="C97" s="15" t="s">
        <v>197</v>
      </c>
      <c r="D97" s="166" t="s">
        <v>388</v>
      </c>
      <c r="E97" s="167"/>
      <c r="F97" s="15"/>
      <c r="G97" s="37"/>
      <c r="H97" s="34"/>
      <c r="I97" s="5"/>
    </row>
    <row r="98" spans="1:9" x14ac:dyDescent="0.2">
      <c r="A98" s="4" t="s">
        <v>42</v>
      </c>
      <c r="B98" s="13"/>
      <c r="C98" s="13" t="s">
        <v>198</v>
      </c>
      <c r="D98" s="164" t="s">
        <v>389</v>
      </c>
      <c r="E98" s="165"/>
      <c r="F98" s="13" t="s">
        <v>541</v>
      </c>
      <c r="G98" s="21">
        <v>215.4</v>
      </c>
      <c r="H98" s="65">
        <v>0</v>
      </c>
      <c r="I98" s="5"/>
    </row>
    <row r="99" spans="1:9" ht="12.2" customHeight="1" x14ac:dyDescent="0.2">
      <c r="A99" s="5"/>
      <c r="D99" s="59" t="s">
        <v>633</v>
      </c>
      <c r="E99" s="199" t="s">
        <v>687</v>
      </c>
      <c r="F99" s="200"/>
      <c r="G99" s="62">
        <v>19.5</v>
      </c>
      <c r="H99" s="66"/>
      <c r="I99" s="5"/>
    </row>
    <row r="100" spans="1:9" ht="12.2" customHeight="1" x14ac:dyDescent="0.2">
      <c r="A100" s="4"/>
      <c r="B100" s="13"/>
      <c r="C100" s="13"/>
      <c r="D100" s="59" t="s">
        <v>634</v>
      </c>
      <c r="E100" s="199" t="s">
        <v>688</v>
      </c>
      <c r="F100" s="199"/>
      <c r="G100" s="62">
        <v>195.9</v>
      </c>
      <c r="H100" s="33"/>
      <c r="I100" s="5"/>
    </row>
    <row r="101" spans="1:9" x14ac:dyDescent="0.2">
      <c r="A101" s="58"/>
      <c r="B101" s="15"/>
      <c r="C101" s="15" t="s">
        <v>199</v>
      </c>
      <c r="D101" s="166" t="s">
        <v>391</v>
      </c>
      <c r="E101" s="167"/>
      <c r="F101" s="15"/>
      <c r="G101" s="37"/>
      <c r="H101" s="34"/>
      <c r="I101" s="5"/>
    </row>
    <row r="102" spans="1:9" x14ac:dyDescent="0.2">
      <c r="A102" s="4" t="s">
        <v>43</v>
      </c>
      <c r="B102" s="13"/>
      <c r="C102" s="13" t="s">
        <v>200</v>
      </c>
      <c r="D102" s="164" t="s">
        <v>392</v>
      </c>
      <c r="E102" s="165"/>
      <c r="F102" s="13" t="s">
        <v>537</v>
      </c>
      <c r="G102" s="21">
        <v>186.9</v>
      </c>
      <c r="H102" s="65">
        <v>0</v>
      </c>
      <c r="I102" s="5"/>
    </row>
    <row r="103" spans="1:9" ht="12.2" customHeight="1" x14ac:dyDescent="0.2">
      <c r="A103" s="5"/>
      <c r="D103" s="59" t="s">
        <v>659</v>
      </c>
      <c r="E103" s="199"/>
      <c r="F103" s="200"/>
      <c r="G103" s="62">
        <v>62.4</v>
      </c>
      <c r="H103" s="66"/>
      <c r="I103" s="5"/>
    </row>
    <row r="104" spans="1:9" ht="12.2" customHeight="1" x14ac:dyDescent="0.2">
      <c r="A104" s="4"/>
      <c r="B104" s="13"/>
      <c r="C104" s="13"/>
      <c r="D104" s="59" t="s">
        <v>660</v>
      </c>
      <c r="E104" s="199"/>
      <c r="F104" s="199"/>
      <c r="G104" s="62">
        <v>61.9</v>
      </c>
      <c r="H104" s="33"/>
      <c r="I104" s="5"/>
    </row>
    <row r="105" spans="1:9" ht="12.2" customHeight="1" x14ac:dyDescent="0.2">
      <c r="A105" s="4"/>
      <c r="B105" s="13"/>
      <c r="C105" s="13"/>
      <c r="D105" s="59" t="s">
        <v>661</v>
      </c>
      <c r="E105" s="199"/>
      <c r="F105" s="199"/>
      <c r="G105" s="62">
        <v>62.6</v>
      </c>
      <c r="H105" s="33"/>
      <c r="I105" s="5"/>
    </row>
    <row r="106" spans="1:9" x14ac:dyDescent="0.2">
      <c r="A106" s="4" t="s">
        <v>44</v>
      </c>
      <c r="B106" s="13"/>
      <c r="C106" s="13" t="s">
        <v>201</v>
      </c>
      <c r="D106" s="164" t="s">
        <v>393</v>
      </c>
      <c r="E106" s="165"/>
      <c r="F106" s="13" t="s">
        <v>541</v>
      </c>
      <c r="G106" s="21">
        <v>195.9</v>
      </c>
      <c r="H106" s="65">
        <v>0</v>
      </c>
      <c r="I106" s="5"/>
    </row>
    <row r="107" spans="1:9" ht="12.2" customHeight="1" x14ac:dyDescent="0.2">
      <c r="A107" s="5"/>
      <c r="D107" s="59" t="s">
        <v>634</v>
      </c>
      <c r="E107" s="199"/>
      <c r="F107" s="200"/>
      <c r="G107" s="62">
        <v>195.9</v>
      </c>
      <c r="H107" s="66"/>
      <c r="I107" s="5"/>
    </row>
    <row r="108" spans="1:9" x14ac:dyDescent="0.2">
      <c r="A108" s="4" t="s">
        <v>45</v>
      </c>
      <c r="B108" s="13"/>
      <c r="C108" s="13" t="s">
        <v>202</v>
      </c>
      <c r="D108" s="164" t="s">
        <v>395</v>
      </c>
      <c r="E108" s="165"/>
      <c r="F108" s="13" t="s">
        <v>541</v>
      </c>
      <c r="G108" s="21">
        <v>215.4</v>
      </c>
      <c r="H108" s="65">
        <v>0</v>
      </c>
      <c r="I108" s="5"/>
    </row>
    <row r="109" spans="1:9" ht="12.2" customHeight="1" x14ac:dyDescent="0.2">
      <c r="A109" s="5"/>
      <c r="D109" s="59" t="s">
        <v>633</v>
      </c>
      <c r="E109" s="199" t="s">
        <v>687</v>
      </c>
      <c r="F109" s="200"/>
      <c r="G109" s="62">
        <v>19.5</v>
      </c>
      <c r="H109" s="66"/>
      <c r="I109" s="5"/>
    </row>
    <row r="110" spans="1:9" ht="12.2" customHeight="1" x14ac:dyDescent="0.2">
      <c r="A110" s="4"/>
      <c r="B110" s="13"/>
      <c r="C110" s="13"/>
      <c r="D110" s="59" t="s">
        <v>634</v>
      </c>
      <c r="E110" s="199" t="s">
        <v>688</v>
      </c>
      <c r="F110" s="199"/>
      <c r="G110" s="62">
        <v>195.9</v>
      </c>
      <c r="H110" s="33"/>
      <c r="I110" s="5"/>
    </row>
    <row r="111" spans="1:9" x14ac:dyDescent="0.2">
      <c r="A111" s="4" t="s">
        <v>46</v>
      </c>
      <c r="B111" s="13"/>
      <c r="C111" s="13" t="s">
        <v>202</v>
      </c>
      <c r="D111" s="164" t="s">
        <v>397</v>
      </c>
      <c r="E111" s="165"/>
      <c r="F111" s="13" t="s">
        <v>541</v>
      </c>
      <c r="G111" s="21">
        <v>5.94</v>
      </c>
      <c r="H111" s="65">
        <v>0</v>
      </c>
      <c r="I111" s="5"/>
    </row>
    <row r="112" spans="1:9" ht="12.2" customHeight="1" x14ac:dyDescent="0.2">
      <c r="A112" s="5"/>
      <c r="D112" s="59" t="s">
        <v>662</v>
      </c>
      <c r="E112" s="199" t="s">
        <v>698</v>
      </c>
      <c r="F112" s="200"/>
      <c r="G112" s="62">
        <v>5.94</v>
      </c>
      <c r="H112" s="66"/>
      <c r="I112" s="5"/>
    </row>
    <row r="113" spans="1:9" x14ac:dyDescent="0.2">
      <c r="A113" s="58"/>
      <c r="B113" s="15"/>
      <c r="C113" s="15" t="s">
        <v>203</v>
      </c>
      <c r="D113" s="166" t="s">
        <v>398</v>
      </c>
      <c r="E113" s="167"/>
      <c r="F113" s="15"/>
      <c r="G113" s="37"/>
      <c r="H113" s="34"/>
      <c r="I113" s="5"/>
    </row>
    <row r="114" spans="1:9" x14ac:dyDescent="0.2">
      <c r="A114" s="4" t="s">
        <v>47</v>
      </c>
      <c r="B114" s="13"/>
      <c r="C114" s="13" t="s">
        <v>204</v>
      </c>
      <c r="D114" s="164" t="s">
        <v>399</v>
      </c>
      <c r="E114" s="165"/>
      <c r="F114" s="13" t="s">
        <v>541</v>
      </c>
      <c r="G114" s="21">
        <v>11.1</v>
      </c>
      <c r="H114" s="65">
        <v>0</v>
      </c>
      <c r="I114" s="5"/>
    </row>
    <row r="115" spans="1:9" ht="12.2" customHeight="1" x14ac:dyDescent="0.2">
      <c r="A115" s="5"/>
      <c r="D115" s="59" t="s">
        <v>663</v>
      </c>
      <c r="E115" s="199" t="s">
        <v>689</v>
      </c>
      <c r="F115" s="200"/>
      <c r="G115" s="62">
        <v>8.1</v>
      </c>
      <c r="H115" s="66"/>
      <c r="I115" s="5"/>
    </row>
    <row r="116" spans="1:9" ht="12.2" customHeight="1" x14ac:dyDescent="0.2">
      <c r="A116" s="4"/>
      <c r="B116" s="13"/>
      <c r="C116" s="13"/>
      <c r="D116" s="59" t="s">
        <v>664</v>
      </c>
      <c r="E116" s="199" t="s">
        <v>699</v>
      </c>
      <c r="F116" s="199"/>
      <c r="G116" s="62">
        <v>3</v>
      </c>
      <c r="H116" s="33"/>
      <c r="I116" s="5"/>
    </row>
    <row r="117" spans="1:9" x14ac:dyDescent="0.2">
      <c r="A117" s="4" t="s">
        <v>48</v>
      </c>
      <c r="B117" s="13"/>
      <c r="C117" s="13" t="s">
        <v>205</v>
      </c>
      <c r="D117" s="164" t="s">
        <v>401</v>
      </c>
      <c r="E117" s="165"/>
      <c r="F117" s="13" t="s">
        <v>541</v>
      </c>
      <c r="G117" s="21">
        <v>15</v>
      </c>
      <c r="H117" s="65">
        <v>0</v>
      </c>
      <c r="I117" s="5"/>
    </row>
    <row r="118" spans="1:9" x14ac:dyDescent="0.2">
      <c r="A118" s="58"/>
      <c r="B118" s="15"/>
      <c r="C118" s="15" t="s">
        <v>206</v>
      </c>
      <c r="D118" s="166" t="s">
        <v>402</v>
      </c>
      <c r="E118" s="167"/>
      <c r="F118" s="15"/>
      <c r="G118" s="37"/>
      <c r="H118" s="34"/>
      <c r="I118" s="5"/>
    </row>
    <row r="119" spans="1:9" x14ac:dyDescent="0.2">
      <c r="A119" s="4" t="s">
        <v>49</v>
      </c>
      <c r="B119" s="13"/>
      <c r="C119" s="13" t="s">
        <v>207</v>
      </c>
      <c r="D119" s="164" t="s">
        <v>403</v>
      </c>
      <c r="E119" s="165"/>
      <c r="F119" s="13" t="s">
        <v>541</v>
      </c>
      <c r="G119" s="21">
        <v>519.41</v>
      </c>
      <c r="H119" s="65">
        <v>0</v>
      </c>
      <c r="I119" s="5"/>
    </row>
    <row r="120" spans="1:9" ht="12.2" customHeight="1" x14ac:dyDescent="0.2">
      <c r="A120" s="5"/>
      <c r="D120" s="59" t="s">
        <v>665</v>
      </c>
      <c r="E120" s="199" t="s">
        <v>700</v>
      </c>
      <c r="F120" s="200"/>
      <c r="G120" s="62">
        <v>0</v>
      </c>
      <c r="H120" s="66"/>
      <c r="I120" s="5"/>
    </row>
    <row r="121" spans="1:9" ht="12.2" customHeight="1" x14ac:dyDescent="0.2">
      <c r="A121" s="4"/>
      <c r="B121" s="13"/>
      <c r="C121" s="13"/>
      <c r="D121" s="59" t="s">
        <v>633</v>
      </c>
      <c r="E121" s="199" t="s">
        <v>701</v>
      </c>
      <c r="F121" s="199"/>
      <c r="G121" s="62">
        <v>19.5</v>
      </c>
      <c r="H121" s="33"/>
      <c r="I121" s="5"/>
    </row>
    <row r="122" spans="1:9" ht="12.2" customHeight="1" x14ac:dyDescent="0.2">
      <c r="A122" s="4"/>
      <c r="B122" s="13"/>
      <c r="C122" s="13"/>
      <c r="D122" s="59" t="s">
        <v>666</v>
      </c>
      <c r="E122" s="199" t="s">
        <v>702</v>
      </c>
      <c r="F122" s="199"/>
      <c r="G122" s="62">
        <v>116.99</v>
      </c>
      <c r="H122" s="33"/>
      <c r="I122" s="5"/>
    </row>
    <row r="123" spans="1:9" ht="12.2" customHeight="1" x14ac:dyDescent="0.2">
      <c r="A123" s="4"/>
      <c r="B123" s="13"/>
      <c r="C123" s="13"/>
      <c r="D123" s="59" t="s">
        <v>667</v>
      </c>
      <c r="E123" s="199" t="s">
        <v>702</v>
      </c>
      <c r="F123" s="199"/>
      <c r="G123" s="62">
        <v>48.67</v>
      </c>
      <c r="H123" s="33"/>
      <c r="I123" s="5"/>
    </row>
    <row r="124" spans="1:9" ht="12.2" customHeight="1" x14ac:dyDescent="0.2">
      <c r="A124" s="4"/>
      <c r="B124" s="13"/>
      <c r="C124" s="13"/>
      <c r="D124" s="59" t="s">
        <v>668</v>
      </c>
      <c r="E124" s="199" t="s">
        <v>702</v>
      </c>
      <c r="F124" s="199"/>
      <c r="G124" s="62">
        <v>132.65</v>
      </c>
      <c r="H124" s="33"/>
      <c r="I124" s="5"/>
    </row>
    <row r="125" spans="1:9" ht="12.2" customHeight="1" x14ac:dyDescent="0.2">
      <c r="A125" s="4"/>
      <c r="B125" s="13"/>
      <c r="C125" s="13"/>
      <c r="D125" s="59" t="s">
        <v>669</v>
      </c>
      <c r="E125" s="199" t="s">
        <v>703</v>
      </c>
      <c r="F125" s="199"/>
      <c r="G125" s="62">
        <v>201.6</v>
      </c>
      <c r="H125" s="33"/>
      <c r="I125" s="5"/>
    </row>
    <row r="126" spans="1:9" x14ac:dyDescent="0.2">
      <c r="A126" s="58"/>
      <c r="B126" s="15"/>
      <c r="C126" s="15" t="s">
        <v>96</v>
      </c>
      <c r="D126" s="166" t="s">
        <v>405</v>
      </c>
      <c r="E126" s="167"/>
      <c r="F126" s="15"/>
      <c r="G126" s="37"/>
      <c r="H126" s="34"/>
      <c r="I126" s="5"/>
    </row>
    <row r="127" spans="1:9" x14ac:dyDescent="0.2">
      <c r="A127" s="4" t="s">
        <v>50</v>
      </c>
      <c r="B127" s="13"/>
      <c r="C127" s="13" t="s">
        <v>208</v>
      </c>
      <c r="D127" s="164" t="s">
        <v>406</v>
      </c>
      <c r="E127" s="165"/>
      <c r="F127" s="13" t="s">
        <v>542</v>
      </c>
      <c r="G127" s="21">
        <v>20</v>
      </c>
      <c r="H127" s="65">
        <v>0</v>
      </c>
      <c r="I127" s="5"/>
    </row>
    <row r="128" spans="1:9" x14ac:dyDescent="0.2">
      <c r="A128" s="4" t="s">
        <v>51</v>
      </c>
      <c r="B128" s="13"/>
      <c r="C128" s="13" t="s">
        <v>209</v>
      </c>
      <c r="D128" s="164" t="s">
        <v>408</v>
      </c>
      <c r="E128" s="165"/>
      <c r="F128" s="13" t="s">
        <v>542</v>
      </c>
      <c r="G128" s="21">
        <v>2</v>
      </c>
      <c r="H128" s="65">
        <v>0</v>
      </c>
      <c r="I128" s="5"/>
    </row>
    <row r="129" spans="1:9" x14ac:dyDescent="0.2">
      <c r="A129" s="4" t="s">
        <v>52</v>
      </c>
      <c r="B129" s="13"/>
      <c r="C129" s="13" t="s">
        <v>208</v>
      </c>
      <c r="D129" s="164" t="s">
        <v>410</v>
      </c>
      <c r="E129" s="165"/>
      <c r="F129" s="13" t="s">
        <v>542</v>
      </c>
      <c r="G129" s="21">
        <v>10</v>
      </c>
      <c r="H129" s="65">
        <v>0</v>
      </c>
      <c r="I129" s="5"/>
    </row>
    <row r="130" spans="1:9" x14ac:dyDescent="0.2">
      <c r="A130" s="4" t="s">
        <v>53</v>
      </c>
      <c r="B130" s="13"/>
      <c r="C130" s="13" t="s">
        <v>210</v>
      </c>
      <c r="D130" s="164" t="s">
        <v>412</v>
      </c>
      <c r="E130" s="165"/>
      <c r="F130" s="13" t="s">
        <v>542</v>
      </c>
      <c r="G130" s="21">
        <v>20</v>
      </c>
      <c r="H130" s="65">
        <v>0</v>
      </c>
      <c r="I130" s="5"/>
    </row>
    <row r="131" spans="1:9" x14ac:dyDescent="0.2">
      <c r="A131" s="85" t="s">
        <v>54</v>
      </c>
      <c r="B131" s="86"/>
      <c r="C131" s="86" t="s">
        <v>211</v>
      </c>
      <c r="D131" s="163" t="s">
        <v>414</v>
      </c>
      <c r="E131" s="165"/>
      <c r="F131" s="86" t="s">
        <v>542</v>
      </c>
      <c r="G131" s="87">
        <v>20</v>
      </c>
      <c r="H131" s="88">
        <v>0</v>
      </c>
      <c r="I131" s="5"/>
    </row>
    <row r="132" spans="1:9" x14ac:dyDescent="0.2">
      <c r="A132" s="4" t="s">
        <v>55</v>
      </c>
      <c r="B132" s="13"/>
      <c r="C132" s="13" t="s">
        <v>212</v>
      </c>
      <c r="D132" s="164" t="s">
        <v>416</v>
      </c>
      <c r="E132" s="165"/>
      <c r="F132" s="13" t="s">
        <v>542</v>
      </c>
      <c r="G132" s="21">
        <v>5</v>
      </c>
      <c r="H132" s="65">
        <v>0</v>
      </c>
      <c r="I132" s="5"/>
    </row>
    <row r="133" spans="1:9" x14ac:dyDescent="0.2">
      <c r="A133" s="4" t="s">
        <v>56</v>
      </c>
      <c r="B133" s="13"/>
      <c r="C133" s="13" t="s">
        <v>208</v>
      </c>
      <c r="D133" s="164" t="s">
        <v>418</v>
      </c>
      <c r="E133" s="165"/>
      <c r="F133" s="13" t="s">
        <v>542</v>
      </c>
      <c r="G133" s="21">
        <v>10</v>
      </c>
      <c r="H133" s="65">
        <v>0</v>
      </c>
      <c r="I133" s="5"/>
    </row>
    <row r="134" spans="1:9" x14ac:dyDescent="0.2">
      <c r="A134" s="85" t="s">
        <v>57</v>
      </c>
      <c r="B134" s="86"/>
      <c r="C134" s="86" t="s">
        <v>213</v>
      </c>
      <c r="D134" s="163" t="s">
        <v>419</v>
      </c>
      <c r="E134" s="165"/>
      <c r="F134" s="86" t="s">
        <v>542</v>
      </c>
      <c r="G134" s="87">
        <v>15</v>
      </c>
      <c r="H134" s="88">
        <v>0</v>
      </c>
      <c r="I134" s="5"/>
    </row>
    <row r="135" spans="1:9" x14ac:dyDescent="0.2">
      <c r="A135" s="58"/>
      <c r="B135" s="15"/>
      <c r="C135" s="15" t="s">
        <v>100</v>
      </c>
      <c r="D135" s="166" t="s">
        <v>421</v>
      </c>
      <c r="E135" s="167"/>
      <c r="F135" s="15"/>
      <c r="G135" s="37"/>
      <c r="H135" s="34"/>
      <c r="I135" s="5"/>
    </row>
    <row r="136" spans="1:9" x14ac:dyDescent="0.2">
      <c r="A136" s="4" t="s">
        <v>58</v>
      </c>
      <c r="B136" s="13"/>
      <c r="C136" s="13" t="s">
        <v>214</v>
      </c>
      <c r="D136" s="164" t="s">
        <v>422</v>
      </c>
      <c r="E136" s="165"/>
      <c r="F136" s="13" t="s">
        <v>541</v>
      </c>
      <c r="G136" s="21">
        <v>150</v>
      </c>
      <c r="H136" s="65">
        <v>0</v>
      </c>
      <c r="I136" s="5"/>
    </row>
    <row r="137" spans="1:9" x14ac:dyDescent="0.2">
      <c r="A137" s="4" t="s">
        <v>59</v>
      </c>
      <c r="B137" s="13"/>
      <c r="C137" s="13" t="s">
        <v>215</v>
      </c>
      <c r="D137" s="164" t="s">
        <v>424</v>
      </c>
      <c r="E137" s="165"/>
      <c r="F137" s="13" t="s">
        <v>541</v>
      </c>
      <c r="G137" s="21">
        <v>9000</v>
      </c>
      <c r="H137" s="65">
        <v>0</v>
      </c>
      <c r="I137" s="5"/>
    </row>
    <row r="138" spans="1:9" x14ac:dyDescent="0.2">
      <c r="A138" s="4" t="s">
        <v>60</v>
      </c>
      <c r="B138" s="13"/>
      <c r="C138" s="13" t="s">
        <v>216</v>
      </c>
      <c r="D138" s="164" t="s">
        <v>425</v>
      </c>
      <c r="E138" s="165"/>
      <c r="F138" s="13" t="s">
        <v>541</v>
      </c>
      <c r="G138" s="21">
        <v>150</v>
      </c>
      <c r="H138" s="65">
        <v>0</v>
      </c>
      <c r="I138" s="5"/>
    </row>
    <row r="139" spans="1:9" x14ac:dyDescent="0.2">
      <c r="A139" s="58"/>
      <c r="B139" s="15"/>
      <c r="C139" s="15" t="s">
        <v>101</v>
      </c>
      <c r="D139" s="166" t="s">
        <v>426</v>
      </c>
      <c r="E139" s="167"/>
      <c r="F139" s="15"/>
      <c r="G139" s="37"/>
      <c r="H139" s="34"/>
      <c r="I139" s="5"/>
    </row>
    <row r="140" spans="1:9" x14ac:dyDescent="0.2">
      <c r="A140" s="4" t="s">
        <v>61</v>
      </c>
      <c r="B140" s="13"/>
      <c r="C140" s="13" t="s">
        <v>217</v>
      </c>
      <c r="D140" s="164" t="s">
        <v>427</v>
      </c>
      <c r="E140" s="165"/>
      <c r="F140" s="13" t="s">
        <v>540</v>
      </c>
      <c r="G140" s="21">
        <v>12</v>
      </c>
      <c r="H140" s="65">
        <v>0</v>
      </c>
      <c r="I140" s="5"/>
    </row>
    <row r="141" spans="1:9" x14ac:dyDescent="0.2">
      <c r="A141" s="58"/>
      <c r="B141" s="15"/>
      <c r="C141" s="15" t="s">
        <v>102</v>
      </c>
      <c r="D141" s="166" t="s">
        <v>429</v>
      </c>
      <c r="E141" s="167"/>
      <c r="F141" s="15"/>
      <c r="G141" s="37"/>
      <c r="H141" s="34"/>
      <c r="I141" s="5"/>
    </row>
    <row r="142" spans="1:9" x14ac:dyDescent="0.2">
      <c r="A142" s="4" t="s">
        <v>62</v>
      </c>
      <c r="B142" s="13"/>
      <c r="C142" s="13" t="s">
        <v>218</v>
      </c>
      <c r="D142" s="164" t="s">
        <v>430</v>
      </c>
      <c r="E142" s="165"/>
      <c r="F142" s="13" t="s">
        <v>540</v>
      </c>
      <c r="G142" s="21">
        <v>7</v>
      </c>
      <c r="H142" s="65">
        <v>0</v>
      </c>
      <c r="I142" s="5"/>
    </row>
    <row r="143" spans="1:9" ht="12.2" customHeight="1" x14ac:dyDescent="0.2">
      <c r="A143" s="5"/>
      <c r="D143" s="59" t="s">
        <v>8</v>
      </c>
      <c r="E143" s="199" t="s">
        <v>687</v>
      </c>
      <c r="F143" s="200"/>
      <c r="G143" s="62">
        <v>2</v>
      </c>
      <c r="H143" s="66"/>
      <c r="I143" s="5"/>
    </row>
    <row r="144" spans="1:9" ht="12.2" customHeight="1" x14ac:dyDescent="0.2">
      <c r="A144" s="4"/>
      <c r="B144" s="13"/>
      <c r="C144" s="13"/>
      <c r="D144" s="59" t="s">
        <v>11</v>
      </c>
      <c r="E144" s="199" t="s">
        <v>688</v>
      </c>
      <c r="F144" s="199"/>
      <c r="G144" s="62">
        <v>5</v>
      </c>
      <c r="H144" s="33"/>
      <c r="I144" s="5"/>
    </row>
    <row r="145" spans="1:9" x14ac:dyDescent="0.2">
      <c r="A145" s="4" t="s">
        <v>63</v>
      </c>
      <c r="B145" s="13"/>
      <c r="C145" s="13" t="s">
        <v>219</v>
      </c>
      <c r="D145" s="164" t="s">
        <v>431</v>
      </c>
      <c r="E145" s="165"/>
      <c r="F145" s="13" t="s">
        <v>541</v>
      </c>
      <c r="G145" s="21">
        <v>10.5</v>
      </c>
      <c r="H145" s="65">
        <v>0</v>
      </c>
      <c r="I145" s="5"/>
    </row>
    <row r="146" spans="1:9" ht="12.2" customHeight="1" x14ac:dyDescent="0.2">
      <c r="A146" s="5"/>
      <c r="D146" s="59" t="s">
        <v>670</v>
      </c>
      <c r="E146" s="199" t="s">
        <v>687</v>
      </c>
      <c r="F146" s="200"/>
      <c r="G146" s="62">
        <v>10.5</v>
      </c>
      <c r="H146" s="66"/>
      <c r="I146" s="5"/>
    </row>
    <row r="147" spans="1:9" x14ac:dyDescent="0.2">
      <c r="A147" s="4" t="s">
        <v>64</v>
      </c>
      <c r="B147" s="13"/>
      <c r="C147" s="13" t="s">
        <v>220</v>
      </c>
      <c r="D147" s="164" t="s">
        <v>432</v>
      </c>
      <c r="E147" s="165"/>
      <c r="F147" s="13" t="s">
        <v>541</v>
      </c>
      <c r="G147" s="21">
        <v>36.75</v>
      </c>
      <c r="H147" s="65">
        <v>0</v>
      </c>
      <c r="I147" s="5"/>
    </row>
    <row r="148" spans="1:9" ht="12.2" customHeight="1" x14ac:dyDescent="0.2">
      <c r="A148" s="5"/>
      <c r="D148" s="59" t="s">
        <v>671</v>
      </c>
      <c r="E148" s="199"/>
      <c r="F148" s="200"/>
      <c r="G148" s="62">
        <v>-8</v>
      </c>
      <c r="H148" s="66"/>
      <c r="I148" s="5"/>
    </row>
    <row r="149" spans="1:9" ht="12.2" customHeight="1" x14ac:dyDescent="0.2">
      <c r="A149" s="4"/>
      <c r="B149" s="13"/>
      <c r="C149" s="13"/>
      <c r="D149" s="59" t="s">
        <v>672</v>
      </c>
      <c r="E149" s="199"/>
      <c r="F149" s="199"/>
      <c r="G149" s="62">
        <v>6.25</v>
      </c>
      <c r="H149" s="33"/>
      <c r="I149" s="5"/>
    </row>
    <row r="150" spans="1:9" ht="12.2" customHeight="1" x14ac:dyDescent="0.2">
      <c r="A150" s="4"/>
      <c r="B150" s="13"/>
      <c r="C150" s="13"/>
      <c r="D150" s="59" t="s">
        <v>673</v>
      </c>
      <c r="E150" s="199"/>
      <c r="F150" s="199"/>
      <c r="G150" s="62">
        <v>7</v>
      </c>
      <c r="H150" s="33"/>
      <c r="I150" s="5"/>
    </row>
    <row r="151" spans="1:9" ht="12.2" customHeight="1" x14ac:dyDescent="0.2">
      <c r="A151" s="4"/>
      <c r="B151" s="13"/>
      <c r="C151" s="13"/>
      <c r="D151" s="59" t="s">
        <v>674</v>
      </c>
      <c r="E151" s="199"/>
      <c r="F151" s="199"/>
      <c r="G151" s="62">
        <v>31.5</v>
      </c>
      <c r="H151" s="33"/>
      <c r="I151" s="5"/>
    </row>
    <row r="152" spans="1:9" x14ac:dyDescent="0.2">
      <c r="A152" s="4" t="s">
        <v>65</v>
      </c>
      <c r="B152" s="13"/>
      <c r="C152" s="13" t="s">
        <v>221</v>
      </c>
      <c r="D152" s="164" t="s">
        <v>433</v>
      </c>
      <c r="E152" s="165"/>
      <c r="F152" s="13" t="s">
        <v>541</v>
      </c>
      <c r="G152" s="21">
        <v>22.8</v>
      </c>
      <c r="H152" s="65">
        <v>0</v>
      </c>
      <c r="I152" s="5"/>
    </row>
    <row r="153" spans="1:9" ht="12.2" customHeight="1" x14ac:dyDescent="0.2">
      <c r="A153" s="5"/>
      <c r="D153" s="59" t="s">
        <v>675</v>
      </c>
      <c r="E153" s="199"/>
      <c r="F153" s="200"/>
      <c r="G153" s="62">
        <v>22.8</v>
      </c>
      <c r="H153" s="66"/>
      <c r="I153" s="5"/>
    </row>
    <row r="154" spans="1:9" x14ac:dyDescent="0.2">
      <c r="A154" s="58"/>
      <c r="B154" s="15"/>
      <c r="C154" s="15" t="s">
        <v>103</v>
      </c>
      <c r="D154" s="166" t="s">
        <v>434</v>
      </c>
      <c r="E154" s="167"/>
      <c r="F154" s="15"/>
      <c r="G154" s="37"/>
      <c r="H154" s="34"/>
      <c r="I154" s="5"/>
    </row>
    <row r="155" spans="1:9" x14ac:dyDescent="0.2">
      <c r="A155" s="4" t="s">
        <v>66</v>
      </c>
      <c r="B155" s="13"/>
      <c r="C155" s="13" t="s">
        <v>222</v>
      </c>
      <c r="D155" s="164" t="s">
        <v>435</v>
      </c>
      <c r="E155" s="165"/>
      <c r="F155" s="13" t="s">
        <v>537</v>
      </c>
      <c r="G155" s="21">
        <v>7</v>
      </c>
      <c r="H155" s="65">
        <v>0</v>
      </c>
      <c r="I155" s="5"/>
    </row>
    <row r="156" spans="1:9" ht="12.2" customHeight="1" x14ac:dyDescent="0.2">
      <c r="A156" s="5"/>
      <c r="D156" s="59" t="s">
        <v>676</v>
      </c>
      <c r="E156" s="199" t="s">
        <v>704</v>
      </c>
      <c r="F156" s="200"/>
      <c r="G156" s="62">
        <v>3</v>
      </c>
      <c r="H156" s="66"/>
      <c r="I156" s="5"/>
    </row>
    <row r="157" spans="1:9" ht="12.2" customHeight="1" x14ac:dyDescent="0.2">
      <c r="A157" s="4"/>
      <c r="B157" s="13"/>
      <c r="C157" s="13"/>
      <c r="D157" s="59" t="s">
        <v>677</v>
      </c>
      <c r="E157" s="199" t="s">
        <v>705</v>
      </c>
      <c r="F157" s="199"/>
      <c r="G157" s="62">
        <v>4</v>
      </c>
      <c r="H157" s="33"/>
      <c r="I157" s="5"/>
    </row>
    <row r="158" spans="1:9" x14ac:dyDescent="0.2">
      <c r="A158" s="4" t="s">
        <v>67</v>
      </c>
      <c r="B158" s="13"/>
      <c r="C158" s="13" t="s">
        <v>223</v>
      </c>
      <c r="D158" s="164" t="s">
        <v>436</v>
      </c>
      <c r="E158" s="165"/>
      <c r="F158" s="13" t="s">
        <v>537</v>
      </c>
      <c r="G158" s="21">
        <v>4</v>
      </c>
      <c r="H158" s="65">
        <v>0</v>
      </c>
      <c r="I158" s="5"/>
    </row>
    <row r="159" spans="1:9" ht="12.2" customHeight="1" x14ac:dyDescent="0.2">
      <c r="A159" s="5"/>
      <c r="D159" s="59" t="s">
        <v>678</v>
      </c>
      <c r="E159" s="199" t="s">
        <v>706</v>
      </c>
      <c r="F159" s="200"/>
      <c r="G159" s="62">
        <v>4</v>
      </c>
      <c r="H159" s="66"/>
      <c r="I159" s="5"/>
    </row>
    <row r="160" spans="1:9" x14ac:dyDescent="0.2">
      <c r="A160" s="58"/>
      <c r="B160" s="15"/>
      <c r="C160" s="15" t="s">
        <v>224</v>
      </c>
      <c r="D160" s="166" t="s">
        <v>437</v>
      </c>
      <c r="E160" s="167"/>
      <c r="F160" s="15"/>
      <c r="G160" s="37"/>
      <c r="H160" s="34"/>
      <c r="I160" s="5"/>
    </row>
    <row r="161" spans="1:9" x14ac:dyDescent="0.2">
      <c r="A161" s="4" t="s">
        <v>68</v>
      </c>
      <c r="B161" s="13"/>
      <c r="C161" s="13" t="s">
        <v>225</v>
      </c>
      <c r="D161" s="164" t="s">
        <v>438</v>
      </c>
      <c r="E161" s="165"/>
      <c r="F161" s="13" t="s">
        <v>538</v>
      </c>
      <c r="G161" s="21">
        <v>64.599999999999994</v>
      </c>
      <c r="H161" s="65">
        <v>0</v>
      </c>
      <c r="I161" s="5"/>
    </row>
    <row r="162" spans="1:9" x14ac:dyDescent="0.2">
      <c r="A162" s="58"/>
      <c r="B162" s="15"/>
      <c r="C162" s="15" t="s">
        <v>226</v>
      </c>
      <c r="D162" s="166" t="s">
        <v>439</v>
      </c>
      <c r="E162" s="167"/>
      <c r="F162" s="15"/>
      <c r="G162" s="37"/>
      <c r="H162" s="34"/>
      <c r="I162" s="5"/>
    </row>
    <row r="163" spans="1:9" x14ac:dyDescent="0.2">
      <c r="A163" s="4" t="s">
        <v>69</v>
      </c>
      <c r="B163" s="13"/>
      <c r="C163" s="13" t="s">
        <v>227</v>
      </c>
      <c r="D163" s="164" t="s">
        <v>440</v>
      </c>
      <c r="E163" s="165"/>
      <c r="F163" s="13" t="s">
        <v>537</v>
      </c>
      <c r="G163" s="21">
        <v>70</v>
      </c>
      <c r="H163" s="65">
        <v>0</v>
      </c>
      <c r="I163" s="5"/>
    </row>
    <row r="164" spans="1:9" x14ac:dyDescent="0.2">
      <c r="A164" s="4" t="s">
        <v>70</v>
      </c>
      <c r="B164" s="13"/>
      <c r="C164" s="13" t="s">
        <v>228</v>
      </c>
      <c r="D164" s="164" t="s">
        <v>442</v>
      </c>
      <c r="E164" s="165"/>
      <c r="F164" s="13" t="s">
        <v>537</v>
      </c>
      <c r="G164" s="21">
        <v>45</v>
      </c>
      <c r="H164" s="65">
        <v>0</v>
      </c>
      <c r="I164" s="5"/>
    </row>
    <row r="165" spans="1:9" x14ac:dyDescent="0.2">
      <c r="A165" s="4" t="s">
        <v>71</v>
      </c>
      <c r="B165" s="13"/>
      <c r="C165" s="13" t="s">
        <v>229</v>
      </c>
      <c r="D165" s="164" t="s">
        <v>443</v>
      </c>
      <c r="E165" s="165"/>
      <c r="F165" s="13" t="s">
        <v>537</v>
      </c>
      <c r="G165" s="21">
        <v>10</v>
      </c>
      <c r="H165" s="65">
        <v>0</v>
      </c>
      <c r="I165" s="5"/>
    </row>
    <row r="166" spans="1:9" x14ac:dyDescent="0.2">
      <c r="A166" s="4" t="s">
        <v>72</v>
      </c>
      <c r="B166" s="13"/>
      <c r="C166" s="13" t="s">
        <v>230</v>
      </c>
      <c r="D166" s="164" t="s">
        <v>445</v>
      </c>
      <c r="E166" s="165"/>
      <c r="F166" s="13" t="s">
        <v>537</v>
      </c>
      <c r="G166" s="21">
        <v>125</v>
      </c>
      <c r="H166" s="65">
        <v>0</v>
      </c>
      <c r="I166" s="5"/>
    </row>
    <row r="167" spans="1:9" x14ac:dyDescent="0.2">
      <c r="A167" s="58"/>
      <c r="B167" s="15"/>
      <c r="C167" s="15" t="s">
        <v>231</v>
      </c>
      <c r="D167" s="166" t="s">
        <v>446</v>
      </c>
      <c r="E167" s="167"/>
      <c r="F167" s="15"/>
      <c r="G167" s="37"/>
      <c r="H167" s="34"/>
      <c r="I167" s="5"/>
    </row>
    <row r="168" spans="1:9" x14ac:dyDescent="0.2">
      <c r="A168" s="4" t="s">
        <v>73</v>
      </c>
      <c r="B168" s="13"/>
      <c r="C168" s="13" t="s">
        <v>232</v>
      </c>
      <c r="D168" s="164" t="s">
        <v>447</v>
      </c>
      <c r="E168" s="165"/>
      <c r="F168" s="13" t="s">
        <v>540</v>
      </c>
      <c r="G168" s="21">
        <v>1</v>
      </c>
      <c r="H168" s="65">
        <v>0</v>
      </c>
      <c r="I168" s="5"/>
    </row>
    <row r="169" spans="1:9" x14ac:dyDescent="0.2">
      <c r="A169" s="58"/>
      <c r="B169" s="15"/>
      <c r="C169" s="15" t="s">
        <v>233</v>
      </c>
      <c r="D169" s="166" t="s">
        <v>449</v>
      </c>
      <c r="E169" s="167"/>
      <c r="F169" s="15"/>
      <c r="G169" s="37"/>
      <c r="H169" s="34"/>
      <c r="I169" s="5"/>
    </row>
    <row r="170" spans="1:9" x14ac:dyDescent="0.2">
      <c r="A170" s="4" t="s">
        <v>74</v>
      </c>
      <c r="B170" s="13"/>
      <c r="C170" s="13" t="s">
        <v>234</v>
      </c>
      <c r="D170" s="164" t="s">
        <v>450</v>
      </c>
      <c r="E170" s="165"/>
      <c r="F170" s="13" t="s">
        <v>540</v>
      </c>
      <c r="G170" s="21">
        <v>6</v>
      </c>
      <c r="H170" s="65">
        <v>0</v>
      </c>
      <c r="I170" s="5"/>
    </row>
    <row r="171" spans="1:9" x14ac:dyDescent="0.2">
      <c r="A171" s="4" t="s">
        <v>75</v>
      </c>
      <c r="B171" s="13"/>
      <c r="C171" s="13" t="s">
        <v>235</v>
      </c>
      <c r="D171" s="164" t="s">
        <v>451</v>
      </c>
      <c r="E171" s="165"/>
      <c r="F171" s="13" t="s">
        <v>540</v>
      </c>
      <c r="G171" s="21">
        <v>4</v>
      </c>
      <c r="H171" s="65">
        <v>0</v>
      </c>
      <c r="I171" s="5"/>
    </row>
    <row r="172" spans="1:9" x14ac:dyDescent="0.2">
      <c r="A172" s="4" t="s">
        <v>76</v>
      </c>
      <c r="B172" s="13"/>
      <c r="C172" s="13" t="s">
        <v>236</v>
      </c>
      <c r="D172" s="164" t="s">
        <v>452</v>
      </c>
      <c r="E172" s="165"/>
      <c r="F172" s="13" t="s">
        <v>540</v>
      </c>
      <c r="G172" s="21">
        <v>2</v>
      </c>
      <c r="H172" s="65">
        <v>0</v>
      </c>
      <c r="I172" s="5"/>
    </row>
    <row r="173" spans="1:9" x14ac:dyDescent="0.2">
      <c r="A173" s="4" t="s">
        <v>77</v>
      </c>
      <c r="B173" s="13"/>
      <c r="C173" s="13" t="s">
        <v>237</v>
      </c>
      <c r="D173" s="164" t="s">
        <v>453</v>
      </c>
      <c r="E173" s="165"/>
      <c r="F173" s="13" t="s">
        <v>540</v>
      </c>
      <c r="G173" s="21">
        <v>6</v>
      </c>
      <c r="H173" s="65">
        <v>0</v>
      </c>
      <c r="I173" s="5"/>
    </row>
    <row r="174" spans="1:9" x14ac:dyDescent="0.2">
      <c r="A174" s="58"/>
      <c r="B174" s="15"/>
      <c r="C174" s="15" t="s">
        <v>238</v>
      </c>
      <c r="D174" s="166" t="s">
        <v>455</v>
      </c>
      <c r="E174" s="167"/>
      <c r="F174" s="15"/>
      <c r="G174" s="37"/>
      <c r="H174" s="34"/>
      <c r="I174" s="5"/>
    </row>
    <row r="175" spans="1:9" x14ac:dyDescent="0.2">
      <c r="A175" s="4" t="s">
        <v>78</v>
      </c>
      <c r="B175" s="13"/>
      <c r="C175" s="13" t="s">
        <v>239</v>
      </c>
      <c r="D175" s="164" t="s">
        <v>456</v>
      </c>
      <c r="E175" s="165"/>
      <c r="F175" s="13" t="s">
        <v>543</v>
      </c>
      <c r="G175" s="21">
        <v>1</v>
      </c>
      <c r="H175" s="65">
        <v>0</v>
      </c>
      <c r="I175" s="5"/>
    </row>
    <row r="176" spans="1:9" x14ac:dyDescent="0.2">
      <c r="A176" s="4" t="s">
        <v>79</v>
      </c>
      <c r="B176" s="13"/>
      <c r="C176" s="13" t="s">
        <v>240</v>
      </c>
      <c r="D176" s="164" t="s">
        <v>457</v>
      </c>
      <c r="E176" s="165"/>
      <c r="F176" s="13" t="s">
        <v>543</v>
      </c>
      <c r="G176" s="21">
        <v>1</v>
      </c>
      <c r="H176" s="65">
        <v>0</v>
      </c>
      <c r="I176" s="5"/>
    </row>
    <row r="177" spans="1:9" x14ac:dyDescent="0.2">
      <c r="A177" s="4" t="s">
        <v>80</v>
      </c>
      <c r="B177" s="13"/>
      <c r="C177" s="13" t="s">
        <v>241</v>
      </c>
      <c r="D177" s="164" t="s">
        <v>458</v>
      </c>
      <c r="E177" s="165"/>
      <c r="F177" s="13" t="s">
        <v>543</v>
      </c>
      <c r="G177" s="21">
        <v>1</v>
      </c>
      <c r="H177" s="65">
        <v>0</v>
      </c>
      <c r="I177" s="5"/>
    </row>
    <row r="178" spans="1:9" x14ac:dyDescent="0.2">
      <c r="A178" s="4" t="s">
        <v>81</v>
      </c>
      <c r="B178" s="13"/>
      <c r="C178" s="13" t="s">
        <v>242</v>
      </c>
      <c r="D178" s="164" t="s">
        <v>459</v>
      </c>
      <c r="E178" s="165"/>
      <c r="F178" s="13" t="s">
        <v>543</v>
      </c>
      <c r="G178" s="21">
        <v>1</v>
      </c>
      <c r="H178" s="65">
        <v>0</v>
      </c>
      <c r="I178" s="5"/>
    </row>
    <row r="179" spans="1:9" x14ac:dyDescent="0.2">
      <c r="A179" s="4" t="s">
        <v>82</v>
      </c>
      <c r="B179" s="13"/>
      <c r="C179" s="13" t="s">
        <v>243</v>
      </c>
      <c r="D179" s="164" t="s">
        <v>460</v>
      </c>
      <c r="E179" s="165"/>
      <c r="F179" s="13" t="s">
        <v>543</v>
      </c>
      <c r="G179" s="21">
        <v>1</v>
      </c>
      <c r="H179" s="65">
        <v>0</v>
      </c>
      <c r="I179" s="5"/>
    </row>
    <row r="180" spans="1:9" x14ac:dyDescent="0.2">
      <c r="A180" s="4" t="s">
        <v>83</v>
      </c>
      <c r="B180" s="13"/>
      <c r="C180" s="13" t="s">
        <v>244</v>
      </c>
      <c r="D180" s="164" t="s">
        <v>461</v>
      </c>
      <c r="E180" s="165"/>
      <c r="F180" s="13" t="s">
        <v>543</v>
      </c>
      <c r="G180" s="21">
        <v>1</v>
      </c>
      <c r="H180" s="65">
        <v>0</v>
      </c>
      <c r="I180" s="5"/>
    </row>
    <row r="181" spans="1:9" x14ac:dyDescent="0.2">
      <c r="A181" s="4" t="s">
        <v>84</v>
      </c>
      <c r="B181" s="13"/>
      <c r="C181" s="13" t="s">
        <v>245</v>
      </c>
      <c r="D181" s="164" t="s">
        <v>462</v>
      </c>
      <c r="E181" s="165"/>
      <c r="F181" s="13" t="s">
        <v>543</v>
      </c>
      <c r="G181" s="21">
        <v>1</v>
      </c>
      <c r="H181" s="65">
        <v>0</v>
      </c>
      <c r="I181" s="5"/>
    </row>
    <row r="182" spans="1:9" x14ac:dyDescent="0.2">
      <c r="A182" s="4" t="s">
        <v>85</v>
      </c>
      <c r="B182" s="13"/>
      <c r="C182" s="13" t="s">
        <v>246</v>
      </c>
      <c r="D182" s="164" t="s">
        <v>463</v>
      </c>
      <c r="E182" s="165"/>
      <c r="F182" s="13" t="s">
        <v>543</v>
      </c>
      <c r="G182" s="21">
        <v>1</v>
      </c>
      <c r="H182" s="65">
        <v>0</v>
      </c>
      <c r="I182" s="5"/>
    </row>
    <row r="183" spans="1:9" x14ac:dyDescent="0.2">
      <c r="A183" s="4" t="s">
        <v>86</v>
      </c>
      <c r="B183" s="13"/>
      <c r="C183" s="13" t="s">
        <v>247</v>
      </c>
      <c r="D183" s="164" t="s">
        <v>464</v>
      </c>
      <c r="E183" s="165"/>
      <c r="F183" s="13" t="s">
        <v>543</v>
      </c>
      <c r="G183" s="21">
        <v>1</v>
      </c>
      <c r="H183" s="65">
        <v>0</v>
      </c>
      <c r="I183" s="5"/>
    </row>
    <row r="184" spans="1:9" x14ac:dyDescent="0.2">
      <c r="A184" s="4" t="s">
        <v>87</v>
      </c>
      <c r="B184" s="13"/>
      <c r="C184" s="13" t="s">
        <v>248</v>
      </c>
      <c r="D184" s="164" t="s">
        <v>465</v>
      </c>
      <c r="E184" s="165"/>
      <c r="F184" s="13" t="s">
        <v>543</v>
      </c>
      <c r="G184" s="21">
        <v>1</v>
      </c>
      <c r="H184" s="65">
        <v>0</v>
      </c>
      <c r="I184" s="5"/>
    </row>
    <row r="185" spans="1:9" x14ac:dyDescent="0.2">
      <c r="A185" s="4" t="s">
        <v>88</v>
      </c>
      <c r="B185" s="13"/>
      <c r="C185" s="13" t="s">
        <v>249</v>
      </c>
      <c r="D185" s="164" t="s">
        <v>466</v>
      </c>
      <c r="E185" s="165"/>
      <c r="F185" s="13" t="s">
        <v>543</v>
      </c>
      <c r="G185" s="21">
        <v>1</v>
      </c>
      <c r="H185" s="65">
        <v>0</v>
      </c>
      <c r="I185" s="5"/>
    </row>
    <row r="186" spans="1:9" x14ac:dyDescent="0.2">
      <c r="A186" s="4" t="s">
        <v>89</v>
      </c>
      <c r="B186" s="13"/>
      <c r="C186" s="13" t="s">
        <v>250</v>
      </c>
      <c r="D186" s="164" t="s">
        <v>467</v>
      </c>
      <c r="E186" s="165"/>
      <c r="F186" s="13" t="s">
        <v>543</v>
      </c>
      <c r="G186" s="21">
        <v>1</v>
      </c>
      <c r="H186" s="65">
        <v>0</v>
      </c>
      <c r="I186" s="5"/>
    </row>
    <row r="187" spans="1:9" x14ac:dyDescent="0.2">
      <c r="A187" s="4" t="s">
        <v>90</v>
      </c>
      <c r="B187" s="13"/>
      <c r="C187" s="13" t="s">
        <v>251</v>
      </c>
      <c r="D187" s="164" t="s">
        <v>468</v>
      </c>
      <c r="E187" s="165"/>
      <c r="F187" s="13" t="s">
        <v>543</v>
      </c>
      <c r="G187" s="21">
        <v>1</v>
      </c>
      <c r="H187" s="65">
        <v>0</v>
      </c>
      <c r="I187" s="5"/>
    </row>
    <row r="188" spans="1:9" x14ac:dyDescent="0.2">
      <c r="A188" s="4" t="s">
        <v>91</v>
      </c>
      <c r="B188" s="13"/>
      <c r="C188" s="13" t="s">
        <v>252</v>
      </c>
      <c r="D188" s="164" t="s">
        <v>469</v>
      </c>
      <c r="E188" s="165"/>
      <c r="F188" s="13" t="s">
        <v>543</v>
      </c>
      <c r="G188" s="21">
        <v>1</v>
      </c>
      <c r="H188" s="65">
        <v>0</v>
      </c>
      <c r="I188" s="5"/>
    </row>
    <row r="189" spans="1:9" x14ac:dyDescent="0.2">
      <c r="A189" s="4" t="s">
        <v>92</v>
      </c>
      <c r="B189" s="13"/>
      <c r="C189" s="13" t="s">
        <v>253</v>
      </c>
      <c r="D189" s="164" t="s">
        <v>470</v>
      </c>
      <c r="E189" s="165"/>
      <c r="F189" s="13" t="s">
        <v>543</v>
      </c>
      <c r="G189" s="21">
        <v>1</v>
      </c>
      <c r="H189" s="65">
        <v>0</v>
      </c>
      <c r="I189" s="5"/>
    </row>
    <row r="190" spans="1:9" x14ac:dyDescent="0.2">
      <c r="A190" s="4" t="s">
        <v>93</v>
      </c>
      <c r="B190" s="13"/>
      <c r="C190" s="13" t="s">
        <v>254</v>
      </c>
      <c r="D190" s="164" t="s">
        <v>471</v>
      </c>
      <c r="E190" s="165"/>
      <c r="F190" s="13" t="s">
        <v>543</v>
      </c>
      <c r="G190" s="21">
        <v>1</v>
      </c>
      <c r="H190" s="65">
        <v>0</v>
      </c>
      <c r="I190" s="5"/>
    </row>
    <row r="191" spans="1:9" x14ac:dyDescent="0.2">
      <c r="A191" s="4" t="s">
        <v>94</v>
      </c>
      <c r="B191" s="13"/>
      <c r="C191" s="13" t="s">
        <v>255</v>
      </c>
      <c r="D191" s="164" t="s">
        <v>472</v>
      </c>
      <c r="E191" s="165"/>
      <c r="F191" s="13" t="s">
        <v>543</v>
      </c>
      <c r="G191" s="21">
        <v>1</v>
      </c>
      <c r="H191" s="65">
        <v>0</v>
      </c>
      <c r="I191" s="5"/>
    </row>
    <row r="192" spans="1:9" x14ac:dyDescent="0.2">
      <c r="A192" s="4" t="s">
        <v>95</v>
      </c>
      <c r="B192" s="13"/>
      <c r="C192" s="13" t="s">
        <v>256</v>
      </c>
      <c r="D192" s="164" t="s">
        <v>473</v>
      </c>
      <c r="E192" s="165"/>
      <c r="F192" s="13" t="s">
        <v>543</v>
      </c>
      <c r="G192" s="21">
        <v>1</v>
      </c>
      <c r="H192" s="65">
        <v>0</v>
      </c>
      <c r="I192" s="5"/>
    </row>
    <row r="193" spans="1:9" x14ac:dyDescent="0.2">
      <c r="A193" s="4" t="s">
        <v>96</v>
      </c>
      <c r="B193" s="13"/>
      <c r="C193" s="13" t="s">
        <v>257</v>
      </c>
      <c r="D193" s="164" t="s">
        <v>474</v>
      </c>
      <c r="E193" s="165"/>
      <c r="F193" s="13" t="s">
        <v>543</v>
      </c>
      <c r="G193" s="21">
        <v>1</v>
      </c>
      <c r="H193" s="65">
        <v>0</v>
      </c>
      <c r="I193" s="5"/>
    </row>
    <row r="194" spans="1:9" x14ac:dyDescent="0.2">
      <c r="A194" s="4" t="s">
        <v>97</v>
      </c>
      <c r="B194" s="13"/>
      <c r="C194" s="13" t="s">
        <v>258</v>
      </c>
      <c r="D194" s="164" t="s">
        <v>475</v>
      </c>
      <c r="E194" s="165"/>
      <c r="F194" s="13" t="s">
        <v>543</v>
      </c>
      <c r="G194" s="21">
        <v>1</v>
      </c>
      <c r="H194" s="65">
        <v>0</v>
      </c>
      <c r="I194" s="5"/>
    </row>
    <row r="195" spans="1:9" x14ac:dyDescent="0.2">
      <c r="A195" s="58"/>
      <c r="B195" s="15"/>
      <c r="C195" s="15" t="s">
        <v>259</v>
      </c>
      <c r="D195" s="166" t="s">
        <v>476</v>
      </c>
      <c r="E195" s="167"/>
      <c r="F195" s="15"/>
      <c r="G195" s="37"/>
      <c r="H195" s="34"/>
      <c r="I195" s="5"/>
    </row>
    <row r="196" spans="1:9" x14ac:dyDescent="0.2">
      <c r="A196" s="4" t="s">
        <v>98</v>
      </c>
      <c r="B196" s="13"/>
      <c r="C196" s="13" t="s">
        <v>260</v>
      </c>
      <c r="D196" s="164" t="s">
        <v>477</v>
      </c>
      <c r="E196" s="165"/>
      <c r="F196" s="13" t="s">
        <v>538</v>
      </c>
      <c r="G196" s="21">
        <v>0.2</v>
      </c>
      <c r="H196" s="65">
        <v>0</v>
      </c>
      <c r="I196" s="5"/>
    </row>
    <row r="197" spans="1:9" x14ac:dyDescent="0.2">
      <c r="A197" s="4" t="s">
        <v>99</v>
      </c>
      <c r="B197" s="13"/>
      <c r="C197" s="13" t="s">
        <v>261</v>
      </c>
      <c r="D197" s="164" t="s">
        <v>478</v>
      </c>
      <c r="E197" s="165"/>
      <c r="F197" s="13" t="s">
        <v>538</v>
      </c>
      <c r="G197" s="21">
        <v>0.8</v>
      </c>
      <c r="H197" s="65">
        <v>0</v>
      </c>
      <c r="I197" s="5"/>
    </row>
    <row r="198" spans="1:9" x14ac:dyDescent="0.2">
      <c r="A198" s="4" t="s">
        <v>100</v>
      </c>
      <c r="B198" s="13"/>
      <c r="C198" s="13" t="s">
        <v>262</v>
      </c>
      <c r="D198" s="164" t="s">
        <v>479</v>
      </c>
      <c r="E198" s="165"/>
      <c r="F198" s="13" t="s">
        <v>538</v>
      </c>
      <c r="G198" s="21">
        <v>0.7</v>
      </c>
      <c r="H198" s="65">
        <v>0</v>
      </c>
      <c r="I198" s="5"/>
    </row>
    <row r="199" spans="1:9" x14ac:dyDescent="0.2">
      <c r="A199" s="4" t="s">
        <v>101</v>
      </c>
      <c r="B199" s="13"/>
      <c r="C199" s="13" t="s">
        <v>263</v>
      </c>
      <c r="D199" s="164" t="s">
        <v>480</v>
      </c>
      <c r="E199" s="165"/>
      <c r="F199" s="13" t="s">
        <v>538</v>
      </c>
      <c r="G199" s="21">
        <v>0.25</v>
      </c>
      <c r="H199" s="65">
        <v>0</v>
      </c>
      <c r="I199" s="5"/>
    </row>
    <row r="200" spans="1:9" x14ac:dyDescent="0.2">
      <c r="A200" s="4" t="s">
        <v>102</v>
      </c>
      <c r="B200" s="13"/>
      <c r="C200" s="13" t="s">
        <v>264</v>
      </c>
      <c r="D200" s="164" t="s">
        <v>481</v>
      </c>
      <c r="E200" s="165"/>
      <c r="F200" s="13" t="s">
        <v>538</v>
      </c>
      <c r="G200" s="21">
        <v>0.5</v>
      </c>
      <c r="H200" s="65">
        <v>0</v>
      </c>
      <c r="I200" s="5"/>
    </row>
    <row r="201" spans="1:9" x14ac:dyDescent="0.2">
      <c r="A201" s="4" t="s">
        <v>103</v>
      </c>
      <c r="B201" s="13"/>
      <c r="C201" s="13" t="s">
        <v>265</v>
      </c>
      <c r="D201" s="164" t="s">
        <v>482</v>
      </c>
      <c r="E201" s="165"/>
      <c r="F201" s="13" t="s">
        <v>538</v>
      </c>
      <c r="G201" s="21">
        <v>0.5</v>
      </c>
      <c r="H201" s="65">
        <v>0</v>
      </c>
      <c r="I201" s="5"/>
    </row>
    <row r="202" spans="1:9" x14ac:dyDescent="0.2">
      <c r="A202" s="85" t="s">
        <v>104</v>
      </c>
      <c r="B202" s="86"/>
      <c r="C202" s="86" t="s">
        <v>266</v>
      </c>
      <c r="D202" s="163" t="s">
        <v>483</v>
      </c>
      <c r="E202" s="165"/>
      <c r="F202" s="86" t="s">
        <v>538</v>
      </c>
      <c r="G202" s="87">
        <v>0.8</v>
      </c>
      <c r="H202" s="88">
        <v>0</v>
      </c>
      <c r="I202" s="5"/>
    </row>
    <row r="203" spans="1:9" x14ac:dyDescent="0.2">
      <c r="A203" s="4" t="s">
        <v>105</v>
      </c>
      <c r="B203" s="13"/>
      <c r="C203" s="13" t="s">
        <v>267</v>
      </c>
      <c r="D203" s="164" t="s">
        <v>484</v>
      </c>
      <c r="E203" s="165"/>
      <c r="F203" s="13" t="s">
        <v>538</v>
      </c>
      <c r="G203" s="21">
        <v>2.75</v>
      </c>
      <c r="H203" s="65">
        <v>0</v>
      </c>
      <c r="I203" s="5"/>
    </row>
    <row r="204" spans="1:9" ht="12.2" customHeight="1" x14ac:dyDescent="0.2">
      <c r="A204" s="5"/>
      <c r="D204" s="59" t="s">
        <v>679</v>
      </c>
      <c r="E204" s="199"/>
      <c r="F204" s="200"/>
      <c r="G204" s="62">
        <v>2.75</v>
      </c>
      <c r="H204" s="66"/>
      <c r="I204" s="5"/>
    </row>
    <row r="205" spans="1:9" x14ac:dyDescent="0.2">
      <c r="A205" s="4" t="s">
        <v>106</v>
      </c>
      <c r="B205" s="13"/>
      <c r="C205" s="13" t="s">
        <v>268</v>
      </c>
      <c r="D205" s="164" t="s">
        <v>485</v>
      </c>
      <c r="E205" s="165"/>
      <c r="F205" s="13" t="s">
        <v>538</v>
      </c>
      <c r="G205" s="21">
        <v>5</v>
      </c>
      <c r="H205" s="65">
        <v>0</v>
      </c>
      <c r="I205" s="5"/>
    </row>
    <row r="206" spans="1:9" x14ac:dyDescent="0.2">
      <c r="A206" s="4" t="s">
        <v>107</v>
      </c>
      <c r="B206" s="13"/>
      <c r="C206" s="13" t="s">
        <v>269</v>
      </c>
      <c r="D206" s="164" t="s">
        <v>486</v>
      </c>
      <c r="E206" s="165"/>
      <c r="F206" s="13" t="s">
        <v>538</v>
      </c>
      <c r="G206" s="21">
        <v>2.75</v>
      </c>
      <c r="H206" s="65">
        <v>0</v>
      </c>
      <c r="I206" s="5"/>
    </row>
    <row r="207" spans="1:9" x14ac:dyDescent="0.2">
      <c r="A207" s="4" t="s">
        <v>108</v>
      </c>
      <c r="B207" s="13"/>
      <c r="C207" s="13" t="s">
        <v>270</v>
      </c>
      <c r="D207" s="164" t="s">
        <v>487</v>
      </c>
      <c r="E207" s="165"/>
      <c r="F207" s="13" t="s">
        <v>538</v>
      </c>
      <c r="G207" s="21">
        <v>2.75</v>
      </c>
      <c r="H207" s="65">
        <v>0</v>
      </c>
      <c r="I207" s="5"/>
    </row>
    <row r="208" spans="1:9" x14ac:dyDescent="0.2">
      <c r="A208" s="4" t="s">
        <v>109</v>
      </c>
      <c r="B208" s="13"/>
      <c r="C208" s="13" t="s">
        <v>271</v>
      </c>
      <c r="D208" s="164" t="s">
        <v>488</v>
      </c>
      <c r="E208" s="165"/>
      <c r="F208" s="13" t="s">
        <v>538</v>
      </c>
      <c r="G208" s="21">
        <v>55</v>
      </c>
      <c r="H208" s="65">
        <v>0</v>
      </c>
      <c r="I208" s="5"/>
    </row>
    <row r="209" spans="1:9" x14ac:dyDescent="0.2">
      <c r="A209" s="58"/>
      <c r="B209" s="15"/>
      <c r="C209" s="15"/>
      <c r="D209" s="166" t="s">
        <v>489</v>
      </c>
      <c r="E209" s="167"/>
      <c r="F209" s="15"/>
      <c r="G209" s="37"/>
      <c r="H209" s="34"/>
      <c r="I209" s="5"/>
    </row>
    <row r="210" spans="1:9" x14ac:dyDescent="0.2">
      <c r="A210" s="85" t="s">
        <v>110</v>
      </c>
      <c r="B210" s="86"/>
      <c r="C210" s="86" t="s">
        <v>272</v>
      </c>
      <c r="D210" s="163" t="s">
        <v>490</v>
      </c>
      <c r="E210" s="157"/>
      <c r="F210" s="86" t="s">
        <v>540</v>
      </c>
      <c r="G210" s="87">
        <v>3</v>
      </c>
      <c r="H210" s="88">
        <v>0</v>
      </c>
      <c r="I210" s="5"/>
    </row>
    <row r="211" spans="1:9" ht="12.2" customHeight="1" x14ac:dyDescent="0.2">
      <c r="A211" s="5"/>
      <c r="D211" s="59" t="s">
        <v>9</v>
      </c>
      <c r="E211" s="199" t="s">
        <v>707</v>
      </c>
      <c r="F211" s="200"/>
      <c r="G211" s="63">
        <v>3</v>
      </c>
      <c r="H211" s="66"/>
      <c r="I211" s="5"/>
    </row>
    <row r="212" spans="1:9" x14ac:dyDescent="0.2">
      <c r="A212" s="85" t="s">
        <v>111</v>
      </c>
      <c r="B212" s="86"/>
      <c r="C212" s="86" t="s">
        <v>273</v>
      </c>
      <c r="D212" s="163" t="s">
        <v>491</v>
      </c>
      <c r="E212" s="157"/>
      <c r="F212" s="86" t="s">
        <v>540</v>
      </c>
      <c r="G212" s="87">
        <v>2</v>
      </c>
      <c r="H212" s="88">
        <v>0</v>
      </c>
      <c r="I212" s="5"/>
    </row>
    <row r="213" spans="1:9" ht="12.2" customHeight="1" x14ac:dyDescent="0.2">
      <c r="A213" s="5"/>
      <c r="D213" s="59" t="s">
        <v>8</v>
      </c>
      <c r="E213" s="199" t="s">
        <v>708</v>
      </c>
      <c r="F213" s="200"/>
      <c r="G213" s="63">
        <v>2</v>
      </c>
      <c r="H213" s="66"/>
      <c r="I213" s="5"/>
    </row>
    <row r="214" spans="1:9" x14ac:dyDescent="0.2">
      <c r="A214" s="85" t="s">
        <v>112</v>
      </c>
      <c r="B214" s="86"/>
      <c r="C214" s="86" t="s">
        <v>273</v>
      </c>
      <c r="D214" s="163" t="s">
        <v>492</v>
      </c>
      <c r="E214" s="157"/>
      <c r="F214" s="86" t="s">
        <v>540</v>
      </c>
      <c r="G214" s="87">
        <v>2</v>
      </c>
      <c r="H214" s="88">
        <v>0</v>
      </c>
      <c r="I214" s="5"/>
    </row>
    <row r="215" spans="1:9" ht="12.2" customHeight="1" x14ac:dyDescent="0.2">
      <c r="A215" s="5"/>
      <c r="D215" s="59" t="s">
        <v>8</v>
      </c>
      <c r="E215" s="199" t="s">
        <v>687</v>
      </c>
      <c r="F215" s="200"/>
      <c r="G215" s="63">
        <v>2</v>
      </c>
      <c r="H215" s="66"/>
      <c r="I215" s="5"/>
    </row>
    <row r="216" spans="1:9" x14ac:dyDescent="0.2">
      <c r="A216" s="85" t="s">
        <v>113</v>
      </c>
      <c r="B216" s="86"/>
      <c r="C216" s="86" t="s">
        <v>273</v>
      </c>
      <c r="D216" s="163" t="s">
        <v>493</v>
      </c>
      <c r="E216" s="157"/>
      <c r="F216" s="86" t="s">
        <v>540</v>
      </c>
      <c r="G216" s="87">
        <v>1</v>
      </c>
      <c r="H216" s="88">
        <v>0</v>
      </c>
      <c r="I216" s="5"/>
    </row>
    <row r="217" spans="1:9" ht="12.2" customHeight="1" x14ac:dyDescent="0.2">
      <c r="A217" s="5"/>
      <c r="D217" s="59" t="s">
        <v>7</v>
      </c>
      <c r="E217" s="199" t="s">
        <v>709</v>
      </c>
      <c r="F217" s="200"/>
      <c r="G217" s="63">
        <v>1</v>
      </c>
      <c r="H217" s="66"/>
      <c r="I217" s="5"/>
    </row>
    <row r="218" spans="1:9" x14ac:dyDescent="0.2">
      <c r="A218" s="7" t="s">
        <v>114</v>
      </c>
      <c r="B218" s="16"/>
      <c r="C218" s="16" t="s">
        <v>274</v>
      </c>
      <c r="D218" s="156" t="s">
        <v>494</v>
      </c>
      <c r="E218" s="157"/>
      <c r="F218" s="16" t="s">
        <v>540</v>
      </c>
      <c r="G218" s="22">
        <v>1</v>
      </c>
      <c r="H218" s="67">
        <v>0</v>
      </c>
      <c r="I218" s="5"/>
    </row>
    <row r="219" spans="1:9" ht="12.2" customHeight="1" x14ac:dyDescent="0.2">
      <c r="A219" s="5"/>
      <c r="D219" s="59" t="s">
        <v>7</v>
      </c>
      <c r="E219" s="199" t="s">
        <v>710</v>
      </c>
      <c r="F219" s="200"/>
      <c r="G219" s="63">
        <v>1</v>
      </c>
      <c r="H219" s="66"/>
      <c r="I219" s="5"/>
    </row>
    <row r="220" spans="1:9" x14ac:dyDescent="0.2">
      <c r="A220" s="7" t="s">
        <v>115</v>
      </c>
      <c r="B220" s="16"/>
      <c r="C220" s="16" t="s">
        <v>275</v>
      </c>
      <c r="D220" s="156" t="s">
        <v>495</v>
      </c>
      <c r="E220" s="157"/>
      <c r="F220" s="16" t="s">
        <v>537</v>
      </c>
      <c r="G220" s="22">
        <v>3</v>
      </c>
      <c r="H220" s="67">
        <v>0</v>
      </c>
      <c r="I220" s="5"/>
    </row>
    <row r="221" spans="1:9" x14ac:dyDescent="0.2">
      <c r="A221" s="7" t="s">
        <v>116</v>
      </c>
      <c r="B221" s="16"/>
      <c r="C221" s="16" t="s">
        <v>276</v>
      </c>
      <c r="D221" s="156" t="s">
        <v>496</v>
      </c>
      <c r="E221" s="157"/>
      <c r="F221" s="16" t="s">
        <v>540</v>
      </c>
      <c r="G221" s="22">
        <v>9</v>
      </c>
      <c r="H221" s="67">
        <v>0</v>
      </c>
      <c r="I221" s="5"/>
    </row>
    <row r="222" spans="1:9" ht="12.2" customHeight="1" x14ac:dyDescent="0.2">
      <c r="A222" s="5"/>
      <c r="D222" s="59" t="s">
        <v>8</v>
      </c>
      <c r="E222" s="199" t="s">
        <v>687</v>
      </c>
      <c r="F222" s="200"/>
      <c r="G222" s="63">
        <v>2</v>
      </c>
      <c r="H222" s="66"/>
      <c r="I222" s="5"/>
    </row>
    <row r="223" spans="1:9" ht="12.2" customHeight="1" x14ac:dyDescent="0.2">
      <c r="A223" s="7"/>
      <c r="B223" s="16"/>
      <c r="C223" s="16"/>
      <c r="D223" s="59" t="s">
        <v>13</v>
      </c>
      <c r="E223" s="199" t="s">
        <v>688</v>
      </c>
      <c r="F223" s="199"/>
      <c r="G223" s="63">
        <v>7</v>
      </c>
      <c r="H223" s="35"/>
      <c r="I223" s="5"/>
    </row>
    <row r="224" spans="1:9" x14ac:dyDescent="0.2">
      <c r="A224" s="7" t="s">
        <v>117</v>
      </c>
      <c r="B224" s="16"/>
      <c r="C224" s="16" t="s">
        <v>277</v>
      </c>
      <c r="D224" s="156" t="s">
        <v>497</v>
      </c>
      <c r="E224" s="157"/>
      <c r="F224" s="16" t="s">
        <v>540</v>
      </c>
      <c r="G224" s="22">
        <v>9</v>
      </c>
      <c r="H224" s="67">
        <v>0</v>
      </c>
      <c r="I224" s="5"/>
    </row>
    <row r="225" spans="1:9" x14ac:dyDescent="0.2">
      <c r="A225" s="7" t="s">
        <v>118</v>
      </c>
      <c r="B225" s="16"/>
      <c r="C225" s="16" t="s">
        <v>278</v>
      </c>
      <c r="D225" s="156" t="s">
        <v>498</v>
      </c>
      <c r="E225" s="157"/>
      <c r="F225" s="16" t="s">
        <v>537</v>
      </c>
      <c r="G225" s="22">
        <v>214.9</v>
      </c>
      <c r="H225" s="67">
        <v>0</v>
      </c>
      <c r="I225" s="5"/>
    </row>
    <row r="226" spans="1:9" ht="12.2" customHeight="1" x14ac:dyDescent="0.2">
      <c r="A226" s="5"/>
      <c r="D226" s="59" t="s">
        <v>680</v>
      </c>
      <c r="E226" s="199" t="s">
        <v>711</v>
      </c>
      <c r="F226" s="200"/>
      <c r="G226" s="63">
        <v>214.9</v>
      </c>
      <c r="H226" s="66"/>
      <c r="I226" s="5"/>
    </row>
    <row r="227" spans="1:9" x14ac:dyDescent="0.2">
      <c r="A227" s="7" t="s">
        <v>119</v>
      </c>
      <c r="B227" s="16"/>
      <c r="C227" s="16" t="s">
        <v>279</v>
      </c>
      <c r="D227" s="156" t="s">
        <v>499</v>
      </c>
      <c r="E227" s="157"/>
      <c r="F227" s="16" t="s">
        <v>540</v>
      </c>
      <c r="G227" s="22">
        <v>1</v>
      </c>
      <c r="H227" s="67">
        <v>0</v>
      </c>
      <c r="I227" s="5"/>
    </row>
    <row r="228" spans="1:9" x14ac:dyDescent="0.2">
      <c r="A228" s="7" t="s">
        <v>120</v>
      </c>
      <c r="B228" s="16"/>
      <c r="C228" s="16" t="s">
        <v>280</v>
      </c>
      <c r="D228" s="156" t="s">
        <v>500</v>
      </c>
      <c r="E228" s="157"/>
      <c r="F228" s="16" t="s">
        <v>540</v>
      </c>
      <c r="G228" s="22">
        <v>1</v>
      </c>
      <c r="H228" s="67">
        <v>0</v>
      </c>
      <c r="I228" s="5"/>
    </row>
    <row r="229" spans="1:9" x14ac:dyDescent="0.2">
      <c r="A229" s="7" t="s">
        <v>121</v>
      </c>
      <c r="B229" s="16"/>
      <c r="C229" s="16" t="s">
        <v>281</v>
      </c>
      <c r="D229" s="156" t="s">
        <v>501</v>
      </c>
      <c r="E229" s="157"/>
      <c r="F229" s="16" t="s">
        <v>537</v>
      </c>
      <c r="G229" s="22">
        <v>3.5</v>
      </c>
      <c r="H229" s="67">
        <v>0</v>
      </c>
      <c r="I229" s="5"/>
    </row>
    <row r="230" spans="1:9" x14ac:dyDescent="0.2">
      <c r="A230" s="7" t="s">
        <v>122</v>
      </c>
      <c r="B230" s="16"/>
      <c r="C230" s="16" t="s">
        <v>282</v>
      </c>
      <c r="D230" s="156" t="s">
        <v>502</v>
      </c>
      <c r="E230" s="157"/>
      <c r="F230" s="16" t="s">
        <v>540</v>
      </c>
      <c r="G230" s="22">
        <v>4</v>
      </c>
      <c r="H230" s="67">
        <v>0</v>
      </c>
      <c r="I230" s="5"/>
    </row>
    <row r="231" spans="1:9" x14ac:dyDescent="0.2">
      <c r="A231" s="7" t="s">
        <v>123</v>
      </c>
      <c r="B231" s="16"/>
      <c r="C231" s="16" t="s">
        <v>283</v>
      </c>
      <c r="D231" s="156" t="s">
        <v>503</v>
      </c>
      <c r="E231" s="157"/>
      <c r="F231" s="16" t="s">
        <v>537</v>
      </c>
      <c r="G231" s="22">
        <v>3.5</v>
      </c>
      <c r="H231" s="67">
        <v>0</v>
      </c>
      <c r="I231" s="5"/>
    </row>
    <row r="232" spans="1:9" x14ac:dyDescent="0.2">
      <c r="A232" s="7" t="s">
        <v>124</v>
      </c>
      <c r="B232" s="16"/>
      <c r="C232" s="16" t="s">
        <v>284</v>
      </c>
      <c r="D232" s="156" t="s">
        <v>504</v>
      </c>
      <c r="E232" s="157"/>
      <c r="F232" s="16" t="s">
        <v>540</v>
      </c>
      <c r="G232" s="22">
        <v>4</v>
      </c>
      <c r="H232" s="67">
        <v>0</v>
      </c>
      <c r="I232" s="5"/>
    </row>
    <row r="233" spans="1:9" x14ac:dyDescent="0.2">
      <c r="A233" s="7" t="s">
        <v>125</v>
      </c>
      <c r="B233" s="16"/>
      <c r="C233" s="16" t="s">
        <v>285</v>
      </c>
      <c r="D233" s="156" t="s">
        <v>505</v>
      </c>
      <c r="E233" s="157"/>
      <c r="F233" s="16" t="s">
        <v>540</v>
      </c>
      <c r="G233" s="22">
        <v>17</v>
      </c>
      <c r="H233" s="67">
        <v>0</v>
      </c>
      <c r="I233" s="5"/>
    </row>
    <row r="234" spans="1:9" x14ac:dyDescent="0.2">
      <c r="A234" s="7" t="s">
        <v>126</v>
      </c>
      <c r="B234" s="16"/>
      <c r="C234" s="16" t="s">
        <v>286</v>
      </c>
      <c r="D234" s="156" t="s">
        <v>506</v>
      </c>
      <c r="E234" s="157"/>
      <c r="F234" s="16" t="s">
        <v>537</v>
      </c>
      <c r="G234" s="22">
        <v>24</v>
      </c>
      <c r="H234" s="67">
        <v>0</v>
      </c>
      <c r="I234" s="5"/>
    </row>
    <row r="235" spans="1:9" ht="12.2" customHeight="1" x14ac:dyDescent="0.2">
      <c r="A235" s="5"/>
      <c r="D235" s="59" t="s">
        <v>681</v>
      </c>
      <c r="E235" s="199"/>
      <c r="F235" s="200"/>
      <c r="G235" s="63">
        <v>24</v>
      </c>
      <c r="H235" s="66"/>
      <c r="I235" s="5"/>
    </row>
    <row r="236" spans="1:9" x14ac:dyDescent="0.2">
      <c r="A236" s="7" t="s">
        <v>127</v>
      </c>
      <c r="B236" s="16"/>
      <c r="C236" s="16" t="s">
        <v>287</v>
      </c>
      <c r="D236" s="156" t="s">
        <v>507</v>
      </c>
      <c r="E236" s="157"/>
      <c r="F236" s="16" t="s">
        <v>540</v>
      </c>
      <c r="G236" s="22">
        <v>3</v>
      </c>
      <c r="H236" s="67">
        <v>0</v>
      </c>
      <c r="I236" s="5"/>
    </row>
    <row r="237" spans="1:9" x14ac:dyDescent="0.2">
      <c r="A237" s="7" t="s">
        <v>128</v>
      </c>
      <c r="B237" s="16"/>
      <c r="C237" s="16" t="s">
        <v>288</v>
      </c>
      <c r="D237" s="156" t="s">
        <v>508</v>
      </c>
      <c r="E237" s="157"/>
      <c r="F237" s="16" t="s">
        <v>537</v>
      </c>
      <c r="G237" s="22">
        <v>32</v>
      </c>
      <c r="H237" s="67">
        <v>0</v>
      </c>
      <c r="I237" s="5"/>
    </row>
    <row r="238" spans="1:9" ht="12.2" customHeight="1" x14ac:dyDescent="0.2">
      <c r="A238" s="5"/>
      <c r="D238" s="59" t="s">
        <v>682</v>
      </c>
      <c r="E238" s="199" t="s">
        <v>712</v>
      </c>
      <c r="F238" s="200"/>
      <c r="G238" s="63">
        <v>22</v>
      </c>
      <c r="H238" s="66"/>
      <c r="I238" s="5"/>
    </row>
    <row r="239" spans="1:9" ht="12.2" customHeight="1" x14ac:dyDescent="0.2">
      <c r="A239" s="7"/>
      <c r="B239" s="16"/>
      <c r="C239" s="16"/>
      <c r="D239" s="59" t="s">
        <v>16</v>
      </c>
      <c r="E239" s="199" t="s">
        <v>713</v>
      </c>
      <c r="F239" s="199"/>
      <c r="G239" s="63">
        <v>10</v>
      </c>
      <c r="H239" s="35"/>
      <c r="I239" s="5"/>
    </row>
    <row r="240" spans="1:9" x14ac:dyDescent="0.2">
      <c r="A240" s="7" t="s">
        <v>129</v>
      </c>
      <c r="B240" s="16"/>
      <c r="C240" s="16" t="s">
        <v>289</v>
      </c>
      <c r="D240" s="156" t="s">
        <v>509</v>
      </c>
      <c r="E240" s="157"/>
      <c r="F240" s="16" t="s">
        <v>541</v>
      </c>
      <c r="G240" s="22">
        <v>19.55</v>
      </c>
      <c r="H240" s="67">
        <v>0</v>
      </c>
      <c r="I240" s="5"/>
    </row>
    <row r="241" spans="1:9" ht="12.2" customHeight="1" x14ac:dyDescent="0.2">
      <c r="A241" s="5"/>
      <c r="D241" s="59" t="s">
        <v>683</v>
      </c>
      <c r="E241" s="199" t="s">
        <v>714</v>
      </c>
      <c r="F241" s="200"/>
      <c r="G241" s="63">
        <v>19.55</v>
      </c>
      <c r="H241" s="66"/>
      <c r="I241" s="5"/>
    </row>
    <row r="242" spans="1:9" x14ac:dyDescent="0.2">
      <c r="A242" s="7" t="s">
        <v>130</v>
      </c>
      <c r="B242" s="16"/>
      <c r="C242" s="16" t="s">
        <v>290</v>
      </c>
      <c r="D242" s="156" t="s">
        <v>510</v>
      </c>
      <c r="E242" s="157"/>
      <c r="F242" s="16" t="s">
        <v>540</v>
      </c>
      <c r="G242" s="22">
        <v>6</v>
      </c>
      <c r="H242" s="67">
        <v>0</v>
      </c>
      <c r="I242" s="5"/>
    </row>
    <row r="243" spans="1:9" x14ac:dyDescent="0.2">
      <c r="A243" s="7" t="s">
        <v>131</v>
      </c>
      <c r="B243" s="16"/>
      <c r="C243" s="16" t="s">
        <v>291</v>
      </c>
      <c r="D243" s="156" t="s">
        <v>511</v>
      </c>
      <c r="E243" s="157"/>
      <c r="F243" s="16" t="s">
        <v>540</v>
      </c>
      <c r="G243" s="22">
        <v>7</v>
      </c>
      <c r="H243" s="67">
        <v>0</v>
      </c>
      <c r="I243" s="5"/>
    </row>
    <row r="244" spans="1:9" x14ac:dyDescent="0.2">
      <c r="A244" s="7" t="s">
        <v>132</v>
      </c>
      <c r="B244" s="16"/>
      <c r="C244" s="16" t="s">
        <v>292</v>
      </c>
      <c r="D244" s="156" t="s">
        <v>512</v>
      </c>
      <c r="E244" s="157"/>
      <c r="F244" s="16" t="s">
        <v>540</v>
      </c>
      <c r="G244" s="22">
        <v>4</v>
      </c>
      <c r="H244" s="67">
        <v>0</v>
      </c>
      <c r="I244" s="5"/>
    </row>
    <row r="245" spans="1:9" x14ac:dyDescent="0.2">
      <c r="A245" s="7" t="s">
        <v>133</v>
      </c>
      <c r="B245" s="16"/>
      <c r="C245" s="16" t="s">
        <v>293</v>
      </c>
      <c r="D245" s="156" t="s">
        <v>513</v>
      </c>
      <c r="E245" s="157"/>
      <c r="F245" s="16" t="s">
        <v>544</v>
      </c>
      <c r="G245" s="22">
        <v>9</v>
      </c>
      <c r="H245" s="67">
        <v>0</v>
      </c>
      <c r="I245" s="5"/>
    </row>
    <row r="246" spans="1:9" x14ac:dyDescent="0.2">
      <c r="A246" s="7" t="s">
        <v>134</v>
      </c>
      <c r="B246" s="16"/>
      <c r="C246" s="16" t="s">
        <v>294</v>
      </c>
      <c r="D246" s="156" t="s">
        <v>514</v>
      </c>
      <c r="E246" s="157"/>
      <c r="F246" s="16" t="s">
        <v>539</v>
      </c>
      <c r="G246" s="22">
        <v>2.6850000000000001</v>
      </c>
      <c r="H246" s="67">
        <v>0</v>
      </c>
      <c r="I246" s="5"/>
    </row>
    <row r="247" spans="1:9" ht="12.2" customHeight="1" x14ac:dyDescent="0.2">
      <c r="A247" s="5"/>
      <c r="D247" s="59" t="s">
        <v>684</v>
      </c>
      <c r="E247" s="199" t="s">
        <v>715</v>
      </c>
      <c r="F247" s="200"/>
      <c r="G247" s="63">
        <v>2.0249999999999999</v>
      </c>
      <c r="H247" s="66"/>
      <c r="I247" s="5"/>
    </row>
    <row r="248" spans="1:9" ht="12.2" customHeight="1" x14ac:dyDescent="0.2">
      <c r="A248" s="7"/>
      <c r="B248" s="16"/>
      <c r="C248" s="16"/>
      <c r="D248" s="59" t="s">
        <v>685</v>
      </c>
      <c r="E248" s="199" t="s">
        <v>716</v>
      </c>
      <c r="F248" s="199"/>
      <c r="G248" s="63">
        <v>0.66</v>
      </c>
      <c r="H248" s="35"/>
      <c r="I248" s="5"/>
    </row>
    <row r="249" spans="1:9" x14ac:dyDescent="0.2">
      <c r="A249" s="7" t="s">
        <v>135</v>
      </c>
      <c r="B249" s="16"/>
      <c r="C249" s="16" t="s">
        <v>295</v>
      </c>
      <c r="D249" s="156" t="s">
        <v>515</v>
      </c>
      <c r="E249" s="157"/>
      <c r="F249" s="16" t="s">
        <v>538</v>
      </c>
      <c r="G249" s="22">
        <v>0.06</v>
      </c>
      <c r="H249" s="67">
        <v>0</v>
      </c>
      <c r="I249" s="5"/>
    </row>
    <row r="250" spans="1:9" x14ac:dyDescent="0.2">
      <c r="A250" s="7" t="s">
        <v>136</v>
      </c>
      <c r="B250" s="16"/>
      <c r="C250" s="16" t="s">
        <v>296</v>
      </c>
      <c r="D250" s="156" t="s">
        <v>516</v>
      </c>
      <c r="E250" s="157"/>
      <c r="F250" s="16" t="s">
        <v>538</v>
      </c>
      <c r="G250" s="22">
        <v>0.02</v>
      </c>
      <c r="H250" s="67">
        <v>0</v>
      </c>
      <c r="I250" s="5"/>
    </row>
    <row r="251" spans="1:9" x14ac:dyDescent="0.2">
      <c r="A251" s="7" t="s">
        <v>137</v>
      </c>
      <c r="B251" s="16"/>
      <c r="C251" s="16" t="s">
        <v>297</v>
      </c>
      <c r="D251" s="156" t="s">
        <v>517</v>
      </c>
      <c r="E251" s="157"/>
      <c r="F251" s="16" t="s">
        <v>540</v>
      </c>
      <c r="G251" s="22">
        <v>1</v>
      </c>
      <c r="H251" s="67">
        <v>0</v>
      </c>
      <c r="I251" s="5"/>
    </row>
    <row r="252" spans="1:9" x14ac:dyDescent="0.2">
      <c r="A252" s="7" t="s">
        <v>138</v>
      </c>
      <c r="B252" s="16"/>
      <c r="C252" s="16" t="s">
        <v>298</v>
      </c>
      <c r="D252" s="156" t="s">
        <v>518</v>
      </c>
      <c r="E252" s="157"/>
      <c r="F252" s="16" t="s">
        <v>540</v>
      </c>
      <c r="G252" s="22">
        <v>1</v>
      </c>
      <c r="H252" s="67">
        <v>0</v>
      </c>
      <c r="I252" s="5"/>
    </row>
    <row r="253" spans="1:9" x14ac:dyDescent="0.2">
      <c r="A253" s="7" t="s">
        <v>139</v>
      </c>
      <c r="B253" s="16"/>
      <c r="C253" s="16" t="s">
        <v>299</v>
      </c>
      <c r="D253" s="156" t="s">
        <v>519</v>
      </c>
      <c r="E253" s="157"/>
      <c r="F253" s="16" t="s">
        <v>540</v>
      </c>
      <c r="G253" s="22">
        <v>1</v>
      </c>
      <c r="H253" s="67">
        <v>0</v>
      </c>
      <c r="I253" s="5"/>
    </row>
    <row r="254" spans="1:9" x14ac:dyDescent="0.2">
      <c r="A254" s="7" t="s">
        <v>140</v>
      </c>
      <c r="B254" s="16"/>
      <c r="C254" s="16" t="s">
        <v>300</v>
      </c>
      <c r="D254" s="156" t="s">
        <v>520</v>
      </c>
      <c r="E254" s="157"/>
      <c r="F254" s="16" t="s">
        <v>540</v>
      </c>
      <c r="G254" s="22">
        <v>2</v>
      </c>
      <c r="H254" s="67">
        <v>0</v>
      </c>
      <c r="I254" s="5"/>
    </row>
    <row r="255" spans="1:9" x14ac:dyDescent="0.2">
      <c r="A255" s="7" t="s">
        <v>141</v>
      </c>
      <c r="B255" s="16"/>
      <c r="C255" s="16" t="s">
        <v>301</v>
      </c>
      <c r="D255" s="156" t="s">
        <v>521</v>
      </c>
      <c r="E255" s="157"/>
      <c r="F255" s="16" t="s">
        <v>540</v>
      </c>
      <c r="G255" s="22">
        <v>4</v>
      </c>
      <c r="H255" s="67">
        <v>0</v>
      </c>
      <c r="I255" s="5"/>
    </row>
    <row r="256" spans="1:9" x14ac:dyDescent="0.2">
      <c r="A256" s="7" t="s">
        <v>142</v>
      </c>
      <c r="B256" s="16"/>
      <c r="C256" s="16" t="s">
        <v>302</v>
      </c>
      <c r="D256" s="156" t="s">
        <v>522</v>
      </c>
      <c r="E256" s="157"/>
      <c r="F256" s="16" t="s">
        <v>540</v>
      </c>
      <c r="G256" s="22">
        <v>2</v>
      </c>
      <c r="H256" s="67">
        <v>0</v>
      </c>
      <c r="I256" s="5"/>
    </row>
    <row r="257" spans="1:9" x14ac:dyDescent="0.2">
      <c r="A257" s="7" t="s">
        <v>143</v>
      </c>
      <c r="B257" s="16"/>
      <c r="C257" s="16" t="s">
        <v>303</v>
      </c>
      <c r="D257" s="156" t="s">
        <v>523</v>
      </c>
      <c r="E257" s="157"/>
      <c r="F257" s="16" t="s">
        <v>540</v>
      </c>
      <c r="G257" s="22">
        <v>2</v>
      </c>
      <c r="H257" s="67">
        <v>0</v>
      </c>
      <c r="I257" s="5"/>
    </row>
    <row r="258" spans="1:9" x14ac:dyDescent="0.2">
      <c r="A258" s="7" t="s">
        <v>144</v>
      </c>
      <c r="B258" s="16"/>
      <c r="C258" s="16" t="s">
        <v>304</v>
      </c>
      <c r="D258" s="156" t="s">
        <v>524</v>
      </c>
      <c r="E258" s="157"/>
      <c r="F258" s="16" t="s">
        <v>540</v>
      </c>
      <c r="G258" s="22">
        <v>1</v>
      </c>
      <c r="H258" s="67">
        <v>0</v>
      </c>
      <c r="I258" s="5"/>
    </row>
    <row r="259" spans="1:9" x14ac:dyDescent="0.2">
      <c r="A259" s="7" t="s">
        <v>145</v>
      </c>
      <c r="B259" s="16"/>
      <c r="C259" s="16" t="s">
        <v>305</v>
      </c>
      <c r="D259" s="156" t="s">
        <v>525</v>
      </c>
      <c r="E259" s="157"/>
      <c r="F259" s="16" t="s">
        <v>540</v>
      </c>
      <c r="G259" s="22">
        <v>2</v>
      </c>
      <c r="H259" s="67">
        <v>0</v>
      </c>
      <c r="I259" s="5"/>
    </row>
    <row r="260" spans="1:9" x14ac:dyDescent="0.2">
      <c r="A260" s="7" t="s">
        <v>146</v>
      </c>
      <c r="B260" s="16"/>
      <c r="C260" s="16" t="s">
        <v>306</v>
      </c>
      <c r="D260" s="156" t="s">
        <v>526</v>
      </c>
      <c r="E260" s="157"/>
      <c r="F260" s="16" t="s">
        <v>540</v>
      </c>
      <c r="G260" s="22">
        <v>3</v>
      </c>
      <c r="H260" s="67">
        <v>0</v>
      </c>
      <c r="I260" s="5"/>
    </row>
    <row r="261" spans="1:9" x14ac:dyDescent="0.2">
      <c r="A261" s="7" t="s">
        <v>147</v>
      </c>
      <c r="B261" s="16"/>
      <c r="C261" s="16" t="s">
        <v>307</v>
      </c>
      <c r="D261" s="156" t="s">
        <v>527</v>
      </c>
      <c r="E261" s="157"/>
      <c r="F261" s="16" t="s">
        <v>540</v>
      </c>
      <c r="G261" s="22">
        <v>1</v>
      </c>
      <c r="H261" s="67">
        <v>0</v>
      </c>
      <c r="I261" s="5"/>
    </row>
    <row r="262" spans="1:9" x14ac:dyDescent="0.2">
      <c r="A262" s="7" t="s">
        <v>148</v>
      </c>
      <c r="B262" s="16"/>
      <c r="C262" s="16" t="s">
        <v>308</v>
      </c>
      <c r="D262" s="156" t="s">
        <v>528</v>
      </c>
      <c r="E262" s="157"/>
      <c r="F262" s="16" t="s">
        <v>540</v>
      </c>
      <c r="G262" s="22">
        <v>1</v>
      </c>
      <c r="H262" s="67">
        <v>0</v>
      </c>
      <c r="I262" s="5"/>
    </row>
    <row r="263" spans="1:9" x14ac:dyDescent="0.2">
      <c r="A263" s="7" t="s">
        <v>149</v>
      </c>
      <c r="B263" s="16"/>
      <c r="C263" s="16" t="s">
        <v>309</v>
      </c>
      <c r="D263" s="156" t="s">
        <v>529</v>
      </c>
      <c r="E263" s="157"/>
      <c r="F263" s="16" t="s">
        <v>537</v>
      </c>
      <c r="G263" s="22">
        <v>10</v>
      </c>
      <c r="H263" s="67">
        <v>0</v>
      </c>
      <c r="I263" s="5"/>
    </row>
    <row r="264" spans="1:9" x14ac:dyDescent="0.2">
      <c r="A264" s="92" t="s">
        <v>150</v>
      </c>
      <c r="B264" s="93"/>
      <c r="C264" s="93" t="s">
        <v>310</v>
      </c>
      <c r="D264" s="158" t="s">
        <v>530</v>
      </c>
      <c r="E264" s="159"/>
      <c r="F264" s="93" t="s">
        <v>545</v>
      </c>
      <c r="G264" s="94">
        <v>2</v>
      </c>
      <c r="H264" s="95">
        <v>0</v>
      </c>
      <c r="I264" s="5"/>
    </row>
    <row r="265" spans="1:9" x14ac:dyDescent="0.2">
      <c r="A265" s="8"/>
      <c r="B265" s="8"/>
      <c r="C265" s="8"/>
      <c r="D265" s="8"/>
      <c r="E265" s="8"/>
      <c r="F265" s="8"/>
      <c r="G265" s="8"/>
      <c r="H265" s="8"/>
    </row>
    <row r="266" spans="1:9" ht="11.25" customHeight="1" x14ac:dyDescent="0.2">
      <c r="A266" s="9" t="s">
        <v>151</v>
      </c>
    </row>
    <row r="267" spans="1:9" x14ac:dyDescent="0.2">
      <c r="A267" s="117"/>
      <c r="B267" s="118"/>
      <c r="C267" s="118"/>
      <c r="D267" s="118"/>
      <c r="E267" s="118"/>
      <c r="F267" s="118"/>
      <c r="G267" s="118"/>
    </row>
  </sheetData>
  <sheetProtection algorithmName="SHA-512" hashValue="ODdwdCK5V5T7aN7ZHdWzkGCkrYPZa4bu6lnC5sY+cM6JcToRswlXreQSqYrDrS9Dqp0hd9qV60Ur3jkMbHwakw==" saltValue="lydQugNEdA9wVFplL75idQ==" spinCount="100000" sheet="1" objects="1" scenarios="1"/>
  <mergeCells count="273"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0:E10"/>
    <mergeCell ref="D11:E11"/>
    <mergeCell ref="D12:E12"/>
    <mergeCell ref="D13:E13"/>
    <mergeCell ref="D14:E14"/>
    <mergeCell ref="D15:E15"/>
    <mergeCell ref="A6:B7"/>
    <mergeCell ref="C6:D7"/>
    <mergeCell ref="E6:E7"/>
    <mergeCell ref="E22:F22"/>
    <mergeCell ref="E23:F23"/>
    <mergeCell ref="E24:F24"/>
    <mergeCell ref="D25:E25"/>
    <mergeCell ref="D26:E26"/>
    <mergeCell ref="E27:F27"/>
    <mergeCell ref="E16:F16"/>
    <mergeCell ref="D17:E17"/>
    <mergeCell ref="D18:E18"/>
    <mergeCell ref="D19:E19"/>
    <mergeCell ref="D20:E20"/>
    <mergeCell ref="D21:E21"/>
    <mergeCell ref="D34:E34"/>
    <mergeCell ref="E35:F35"/>
    <mergeCell ref="D36:E36"/>
    <mergeCell ref="E37:F37"/>
    <mergeCell ref="E38:F38"/>
    <mergeCell ref="D39:E39"/>
    <mergeCell ref="E28:F28"/>
    <mergeCell ref="E29:F29"/>
    <mergeCell ref="D30:E30"/>
    <mergeCell ref="E31:F31"/>
    <mergeCell ref="D32:E32"/>
    <mergeCell ref="E33:F33"/>
    <mergeCell ref="D46:E46"/>
    <mergeCell ref="E47:F47"/>
    <mergeCell ref="E48:F48"/>
    <mergeCell ref="E49:F49"/>
    <mergeCell ref="E50:F50"/>
    <mergeCell ref="D51:E51"/>
    <mergeCell ref="D40:E40"/>
    <mergeCell ref="D41:E41"/>
    <mergeCell ref="E42:F42"/>
    <mergeCell ref="E43:F43"/>
    <mergeCell ref="D44:E44"/>
    <mergeCell ref="E45:F45"/>
    <mergeCell ref="D58:E58"/>
    <mergeCell ref="E59:F59"/>
    <mergeCell ref="E60:F60"/>
    <mergeCell ref="D61:E61"/>
    <mergeCell ref="E62:F62"/>
    <mergeCell ref="D63:E63"/>
    <mergeCell ref="D52:E52"/>
    <mergeCell ref="D53:E53"/>
    <mergeCell ref="D54:E54"/>
    <mergeCell ref="D55:E55"/>
    <mergeCell ref="E56:F56"/>
    <mergeCell ref="E57:F57"/>
    <mergeCell ref="D70:E70"/>
    <mergeCell ref="E71:F71"/>
    <mergeCell ref="D72:E72"/>
    <mergeCell ref="D73:E73"/>
    <mergeCell ref="E74:F74"/>
    <mergeCell ref="E75:F75"/>
    <mergeCell ref="D64:E64"/>
    <mergeCell ref="E65:F65"/>
    <mergeCell ref="D66:E66"/>
    <mergeCell ref="D67:E67"/>
    <mergeCell ref="E68:F68"/>
    <mergeCell ref="E69:F69"/>
    <mergeCell ref="D82:E82"/>
    <mergeCell ref="D83:E83"/>
    <mergeCell ref="D84:E84"/>
    <mergeCell ref="D85:E85"/>
    <mergeCell ref="E86:F86"/>
    <mergeCell ref="D87:E87"/>
    <mergeCell ref="D76:E76"/>
    <mergeCell ref="D77:E77"/>
    <mergeCell ref="D78:E78"/>
    <mergeCell ref="E79:F79"/>
    <mergeCell ref="D80:E80"/>
    <mergeCell ref="D81:E81"/>
    <mergeCell ref="E94:F94"/>
    <mergeCell ref="D95:E95"/>
    <mergeCell ref="D96:E96"/>
    <mergeCell ref="D97:E97"/>
    <mergeCell ref="D98:E98"/>
    <mergeCell ref="E99:F99"/>
    <mergeCell ref="D88:E88"/>
    <mergeCell ref="D89:E89"/>
    <mergeCell ref="D90:E90"/>
    <mergeCell ref="D91:E91"/>
    <mergeCell ref="D92:E92"/>
    <mergeCell ref="E93:F93"/>
    <mergeCell ref="D106:E106"/>
    <mergeCell ref="E107:F107"/>
    <mergeCell ref="D108:E108"/>
    <mergeCell ref="E109:F109"/>
    <mergeCell ref="E110:F110"/>
    <mergeCell ref="D111:E111"/>
    <mergeCell ref="E100:F100"/>
    <mergeCell ref="D101:E101"/>
    <mergeCell ref="D102:E102"/>
    <mergeCell ref="E103:F103"/>
    <mergeCell ref="E104:F104"/>
    <mergeCell ref="E105:F105"/>
    <mergeCell ref="D118:E118"/>
    <mergeCell ref="D119:E119"/>
    <mergeCell ref="E120:F120"/>
    <mergeCell ref="E121:F121"/>
    <mergeCell ref="E122:F122"/>
    <mergeCell ref="E123:F123"/>
    <mergeCell ref="E112:F112"/>
    <mergeCell ref="D113:E113"/>
    <mergeCell ref="D114:E114"/>
    <mergeCell ref="E115:F115"/>
    <mergeCell ref="E116:F116"/>
    <mergeCell ref="D117:E117"/>
    <mergeCell ref="D130:E130"/>
    <mergeCell ref="D131:E131"/>
    <mergeCell ref="D132:E132"/>
    <mergeCell ref="D133:E133"/>
    <mergeCell ref="D134:E134"/>
    <mergeCell ref="D135:E135"/>
    <mergeCell ref="E124:F124"/>
    <mergeCell ref="E125:F125"/>
    <mergeCell ref="D126:E126"/>
    <mergeCell ref="D127:E127"/>
    <mergeCell ref="D128:E128"/>
    <mergeCell ref="D129:E129"/>
    <mergeCell ref="D142:E142"/>
    <mergeCell ref="E143:F143"/>
    <mergeCell ref="E144:F144"/>
    <mergeCell ref="D145:E145"/>
    <mergeCell ref="E146:F146"/>
    <mergeCell ref="D147:E147"/>
    <mergeCell ref="D136:E136"/>
    <mergeCell ref="D137:E137"/>
    <mergeCell ref="D138:E138"/>
    <mergeCell ref="D139:E139"/>
    <mergeCell ref="D140:E140"/>
    <mergeCell ref="D141:E141"/>
    <mergeCell ref="D154:E154"/>
    <mergeCell ref="D155:E155"/>
    <mergeCell ref="E156:F156"/>
    <mergeCell ref="E157:F157"/>
    <mergeCell ref="D158:E158"/>
    <mergeCell ref="E159:F159"/>
    <mergeCell ref="E148:F148"/>
    <mergeCell ref="E149:F149"/>
    <mergeCell ref="E150:F150"/>
    <mergeCell ref="E151:F151"/>
    <mergeCell ref="D152:E152"/>
    <mergeCell ref="E153:F153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202:E202"/>
    <mergeCell ref="D203:E203"/>
    <mergeCell ref="E204:F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214:E214"/>
    <mergeCell ref="E215:F215"/>
    <mergeCell ref="D216:E216"/>
    <mergeCell ref="E217:F217"/>
    <mergeCell ref="D218:E218"/>
    <mergeCell ref="E219:F219"/>
    <mergeCell ref="D208:E208"/>
    <mergeCell ref="D209:E209"/>
    <mergeCell ref="D210:E210"/>
    <mergeCell ref="E211:F211"/>
    <mergeCell ref="D212:E212"/>
    <mergeCell ref="E213:F213"/>
    <mergeCell ref="E226:F226"/>
    <mergeCell ref="D227:E227"/>
    <mergeCell ref="D228:E228"/>
    <mergeCell ref="D229:E229"/>
    <mergeCell ref="D230:E230"/>
    <mergeCell ref="D231:E231"/>
    <mergeCell ref="D220:E220"/>
    <mergeCell ref="D221:E221"/>
    <mergeCell ref="E222:F222"/>
    <mergeCell ref="E223:F223"/>
    <mergeCell ref="D224:E224"/>
    <mergeCell ref="D225:E225"/>
    <mergeCell ref="E238:F238"/>
    <mergeCell ref="E239:F239"/>
    <mergeCell ref="D240:E240"/>
    <mergeCell ref="E241:F241"/>
    <mergeCell ref="D242:E242"/>
    <mergeCell ref="D243:E243"/>
    <mergeCell ref="D232:E232"/>
    <mergeCell ref="D233:E233"/>
    <mergeCell ref="D234:E234"/>
    <mergeCell ref="E235:F235"/>
    <mergeCell ref="D236:E236"/>
    <mergeCell ref="D237:E237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E247:F247"/>
    <mergeCell ref="E248:F248"/>
    <mergeCell ref="D249:E249"/>
    <mergeCell ref="D262:E262"/>
    <mergeCell ref="D263:E263"/>
    <mergeCell ref="D264:E264"/>
    <mergeCell ref="A267:G267"/>
    <mergeCell ref="D256:E256"/>
    <mergeCell ref="D257:E257"/>
    <mergeCell ref="D258:E258"/>
    <mergeCell ref="D259:E259"/>
    <mergeCell ref="D260:E260"/>
    <mergeCell ref="D261:E261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</vt:lpstr>
      <vt:lpstr>Stavební rozpočet - součet</vt:lpstr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 Elitebook</dc:creator>
  <cp:lastModifiedBy>notebook</cp:lastModifiedBy>
  <dcterms:created xsi:type="dcterms:W3CDTF">2024-12-03T07:14:55Z</dcterms:created>
  <dcterms:modified xsi:type="dcterms:W3CDTF">2024-12-03T07:41:13Z</dcterms:modified>
</cp:coreProperties>
</file>