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O:\VEŘEJNÉ ZAKÁZKY\2024\02_DNS_Odpadni_pytle_24-30\09_VYZVY\03\01_ZD\"/>
    </mc:Choice>
  </mc:AlternateContent>
  <xr:revisionPtr revIDLastSave="0" documentId="13_ncr:1_{9E4AF45C-B572-429B-AD2C-AD75D1081E2E}" xr6:coauthVersionLast="47" xr6:coauthVersionMax="47" xr10:uidLastSave="{00000000-0000-0000-0000-000000000000}"/>
  <bookViews>
    <workbookView xWindow="6165" yWindow="810" windowWidth="27615" windowHeight="20040" xr2:uid="{00000000-000D-0000-FFFF-FFFF00000000}"/>
  </bookViews>
  <sheets>
    <sheet name="zadavatel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Z64" i="3" l="1"/>
  <c r="BY64" i="3"/>
  <c r="BX64" i="3"/>
  <c r="BW64" i="3"/>
  <c r="BV64" i="3"/>
  <c r="BU64" i="3"/>
  <c r="BT64" i="3"/>
  <c r="BS64" i="3"/>
  <c r="BR64" i="3"/>
  <c r="BQ64" i="3"/>
  <c r="BP64" i="3"/>
  <c r="BO64" i="3"/>
  <c r="BN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Z64" i="3"/>
  <c r="AY64" i="3"/>
  <c r="AX64" i="3"/>
  <c r="AW64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CA63" i="3"/>
  <c r="CA62" i="3"/>
  <c r="CA61" i="3"/>
  <c r="CA60" i="3"/>
  <c r="CA59" i="3"/>
  <c r="CA58" i="3"/>
  <c r="CA57" i="3"/>
  <c r="CA56" i="3"/>
  <c r="CA55" i="3"/>
  <c r="CA54" i="3"/>
  <c r="CA53" i="3"/>
  <c r="CA52" i="3"/>
  <c r="CA51" i="3"/>
  <c r="CA50" i="3"/>
  <c r="CA49" i="3"/>
  <c r="CA48" i="3"/>
  <c r="CA47" i="3"/>
  <c r="CA46" i="3"/>
  <c r="CA45" i="3"/>
  <c r="CA44" i="3"/>
  <c r="CA43" i="3"/>
  <c r="CA42" i="3"/>
  <c r="CA41" i="3"/>
  <c r="CA40" i="3"/>
  <c r="CA39" i="3"/>
  <c r="CA38" i="3"/>
  <c r="CA37" i="3"/>
  <c r="CA36" i="3"/>
  <c r="CA35" i="3"/>
  <c r="CA34" i="3"/>
  <c r="CA33" i="3"/>
  <c r="CA32" i="3"/>
  <c r="CA31" i="3"/>
  <c r="CA30" i="3"/>
  <c r="CA29" i="3"/>
  <c r="CA28" i="3"/>
  <c r="CA27" i="3"/>
  <c r="CA26" i="3"/>
  <c r="CA25" i="3"/>
  <c r="CA24" i="3"/>
  <c r="CA23" i="3"/>
  <c r="CA22" i="3"/>
  <c r="CA21" i="3"/>
  <c r="CA20" i="3"/>
  <c r="CA19" i="3"/>
  <c r="CA18" i="3"/>
  <c r="CA17" i="3"/>
  <c r="CA16" i="3"/>
  <c r="CA15" i="3"/>
  <c r="CA14" i="3"/>
  <c r="CA13" i="3"/>
  <c r="CA12" i="3"/>
  <c r="CA11" i="3"/>
  <c r="CA10" i="3"/>
  <c r="CA9" i="3"/>
  <c r="CA8" i="3"/>
  <c r="CA7" i="3"/>
  <c r="CA6" i="3"/>
  <c r="CA5" i="3"/>
  <c r="CA4" i="3"/>
  <c r="CA3" i="3"/>
  <c r="CA2" i="3"/>
</calcChain>
</file>

<file path=xl/sharedStrings.xml><?xml version="1.0" encoding="utf-8"?>
<sst xmlns="http://schemas.openxmlformats.org/spreadsheetml/2006/main" count="271" uniqueCount="267">
  <si>
    <t>Pytle odpadní, HDPE, vel. 49 x 60cm, minimální síla 15µ, barva černá (cca 30 - 35l)</t>
  </si>
  <si>
    <t xml:space="preserve">Pytle odpadní, HDPE, vel. 49 x 60cm, minimální síla 15µ, barva bílá  (cca 30 - 35l), </t>
  </si>
  <si>
    <t>Pytle odpadní, HDPE, vel. 49 x 60cm, minimální síla 20µ , barva žlutá  (cca 30 - 35l)</t>
  </si>
  <si>
    <t>Pytle odpadní, LDPE, vel. 50 x 60cm, minimální síla 40µ, barva černá (cca 35l)</t>
  </si>
  <si>
    <t xml:space="preserve">Pytle odpadní, HDPE, vel. 50 x 60cm, minimální síla 20µ, barva černá (cca 35l) </t>
  </si>
  <si>
    <t xml:space="preserve">Pytle odpadní, HDPE, vel. 50 x 60cm, minimální síla 20µ, barva bílá  (cca 35l), </t>
  </si>
  <si>
    <t>Pytle odpadní, LDPE, vel. 50 x 60cm, minimální síla 50µ, barva černá  (cca 35l)</t>
  </si>
  <si>
    <t>Pytle odpadní, LDPE, vel. 50 x 60cm, minimální síla 50µ, barva červená  (cca 35l)</t>
  </si>
  <si>
    <t>Pytle odpadní, LDPE, vel. 50 x 60cm, minimální síla 60µ, barva černá  (cca 35l)</t>
  </si>
  <si>
    <t>Pytle odpadní, LDPE, vel. 50 x 60cm, minimální síla 60µ, barva červená  (cca 35l)</t>
  </si>
  <si>
    <t>Pytle odpadní, LDPE, vel. 50 x 60cm, minimální síla 200µ, barva černá (cca 35l)</t>
  </si>
  <si>
    <t>Pytle odpadní, LDPE, vel. 55 x 60cm, minimální síla 60µ, barva černá (cca 40l)</t>
  </si>
  <si>
    <t>Pytle odpadní, LDPE, 55 x 100cm, minimální síla 60µ, barva černá  (cca 80l)</t>
  </si>
  <si>
    <t>Pytle odpadní, LDPE, 55 x 100cm, minimální síla 60µ, barva červená  (cca 80l)</t>
  </si>
  <si>
    <t>Pytle odpadní, LDPE, 55 x 100cm, minimální síla 60µ, barva žlutá (cca 80l)</t>
  </si>
  <si>
    <t>Pytle odpadní, LDPE, vel. 55 x 100cm, minimální síla 80µ, barva černá (cca 80l)</t>
  </si>
  <si>
    <t>Pytle odpadní, LDPE, vel. 55 x 100cm, minimální síla 80µ, barva červená (cca 80l)</t>
  </si>
  <si>
    <t>Pytle odpadní, HDPE, 60 x 50cm, minimální síla 20µ, barva zelená (cca 30l)</t>
  </si>
  <si>
    <t>Pytle odpadní, HDPE, 60 x 70cm, minimální síla 20µ, barva modrá (cca 60l)</t>
  </si>
  <si>
    <t>Pytle odpadní, HDPE, 60 x 80cm, minimální síla 15µ, barva černá (cca 60l)</t>
  </si>
  <si>
    <t>Pytle odpadní, HDPE, 60 x 80cm, minimální síla 15µ, barva transparentní (cca 60l)</t>
  </si>
  <si>
    <t>Pytle odpadní, LDPE, 60 x 80cm, minimální síla 35µ, barva černá (cca 60l)</t>
  </si>
  <si>
    <t>Pytle odpadní, HDPE, vel. 63 x 85cm, minimální 15µ, barva bílá (cca 72l)</t>
  </si>
  <si>
    <t>Pytle odpadní, HDPE, vel. 63 x 85cm, minimální 15µ, barva transparentní  (cca 72l)</t>
  </si>
  <si>
    <t>Pytle odpadní, HDPE, vel. 64 x 71cm, síla 20µ, barva  černá (cca 60l)</t>
  </si>
  <si>
    <t>Pytle odpadní, LDPE,vel.  65 x 78cm, síla 60µ, barva černá (cca 60l)</t>
  </si>
  <si>
    <t>Pytle odpadní, zatahovací, LDPE, vel. 70 x 100cm, síla 50µ, barva modrá (cca 110l)</t>
  </si>
  <si>
    <t>Pytle odpadní, LDPE, vel. 70 x 110cm, síla 40µ, barva černá  (cca 110l)</t>
  </si>
  <si>
    <t>Pytle odpadní, LDPE, vel. 70 x 110cm, síla 40µ, barva transparentní, (cca 110l)</t>
  </si>
  <si>
    <t>Pytle odpadní, LDPE, vel. 70 x 110cm, síla 40µ, barva modrá  (cca 110l)</t>
  </si>
  <si>
    <t>Pytle odpadní, LDPE, vel. 70 x 110cm, síla 40µ, barva červená (cca 110l)</t>
  </si>
  <si>
    <t>Pytle odpadní, LDPE, vel. 70 x 110cm, síla 40µ, barva žlutá (cca 110l)</t>
  </si>
  <si>
    <t>Pytle odpadní, LDPE, vel. 70 x 110cm, síla 40µ, barva zelená (cca 110l)</t>
  </si>
  <si>
    <t>Pytle odpadní, LDPE, vel. 70 x 110cm, síla 60µ, barva černá (cca 110l)</t>
  </si>
  <si>
    <t>Pytle odpadní, LDPE, vel. 70 x 110cm, síla 60µ, barva transparentní (cca 110l)</t>
  </si>
  <si>
    <t>Pytle odpadní, LDPE, vel. 70 x 110cm, síla 60µ, barva modrá (cca 110l)</t>
  </si>
  <si>
    <t>Pytle odpadní, LDPE, vel. 70 x 110cm, síla 60µ, barva červená (cca 110l)</t>
  </si>
  <si>
    <t>Pytle odpadní, LDPE, vel. 70 x 110cm, síla 60µ, barva žlutá (cca 110l)</t>
  </si>
  <si>
    <t>Pytle odpadní, LDPE, vel. 70 x 110cm, síla 60µ, barva zelená (cca 110l)</t>
  </si>
  <si>
    <t>Pytle odpadní, LDPE, vel. 70 x 110cm, minimální síla 80µ, barva černá (cca 110l)</t>
  </si>
  <si>
    <t>Pytle odpadní, LDPE, vel. 70 x 110cm, minimální síla 80µ, barva transparentní (cca 110l)</t>
  </si>
  <si>
    <t>Pytle odpadní, LDPE, vel. 70 x 110cm, minimální síla 80µ, barva modrá (cca 110l)</t>
  </si>
  <si>
    <t>Pytle odpadní, LDPE, vel. 70 x 110cm, minimální síla 80µ, barva červená (cca 110l)</t>
  </si>
  <si>
    <t>Pytle odpadní, LDPE, vel. 70 x 110cm, minimální síla 80µ, barva žlutá (cca 110l)</t>
  </si>
  <si>
    <t>Pytle odpadní, LDPE, vel. 70 x 110cm, minimální síla 80µ, barva zelená (cca 110l)</t>
  </si>
  <si>
    <t>Pytle odpadní, LDPE, vel. 70 x 110cm, minimální síla 100µ, barva černá (cca 110l)</t>
  </si>
  <si>
    <t>Pytle odpadní, LDPE, vel. 70 x 110cm, minimální síla 100µ, barva modrá (cca 110l)</t>
  </si>
  <si>
    <t>Pytle odpadní, LDPE, vel. 70 x 110cm, minimální síla 100µ, barva červená (cca 110l)</t>
  </si>
  <si>
    <t>Pytle odpadní, LDPE, vel. 70 x 110cm, minimální síla 100µ, barva žlutá (cca 110l)</t>
  </si>
  <si>
    <t>Pytle odpadní, LDPE, vel. 70 x 110cm, minimální síla 180µ, barva černá (cca 110l)</t>
  </si>
  <si>
    <t>Pytle odpadní, LDPE, vel. 70 x 110cm, minimální síla 200µ, barva černá (cca 110l)</t>
  </si>
  <si>
    <t>Pytle odpadní, LDPE, vel. 70 x 110cm, minimální síla 200µ, barva žlutá (cca 110l)</t>
  </si>
  <si>
    <t>Pytle odpadní - BIOODPAD s potiskem, LDPE, vel. 70 x 110cm, minimální síla 100µ, barva červená (cca 110l)</t>
  </si>
  <si>
    <t>Pytle odpadní, LDPE, vel. 70 x 120cm, minimální síla 100µ, barva modrá (cca 120l)</t>
  </si>
  <si>
    <t>Pytle odpadní, LDPE, vel. 70 x 120cm, minimální síla 100µ, barva černá (cca 120l)</t>
  </si>
  <si>
    <t>Pytle odpadní, LDPE, vel. 80 x 120cm, minimální síla 100µ, barva transparentní (cca 130l)</t>
  </si>
  <si>
    <t>Pytle odpadní, HDPE, vel. 85 x 63cm, minimální síla 20µ, barva bílá (cca 72l)</t>
  </si>
  <si>
    <t>Pytle odpadní, LDPE, vel. 100 x 120cm, minimální síla 80µ, barva černá (cca 240 l)</t>
  </si>
  <si>
    <t>Sáčky transparentní, HDPE, vel. 16 x 24cm, minimální síla 8µ</t>
  </si>
  <si>
    <t>Sáčky transparentní, HDPE, vel. 20 x 30cm, minimální síla 10µ</t>
  </si>
  <si>
    <t>Sáčky transparentní, HDPE, vel. 20 x 30cm, minimální síla 12µ</t>
  </si>
  <si>
    <t>Sáčky transparentní, HDPE, vel. 20 x 30cm, minimální síla 12µ - boční sklad</t>
  </si>
  <si>
    <t>Sáčky transparentní, HDPE, vel. 25 x 35cm, minimální síla 9µ</t>
  </si>
  <si>
    <t>Sáčky transparentní, HDPE, vel. 25 x 35cm, minimální síla 9µ - boční sklad</t>
  </si>
  <si>
    <t>Sáčky transparentní, HDPE, vel. 25 x 35cm (využitelná výška), minimální síla 9µ - s "ušima"</t>
  </si>
  <si>
    <t xml:space="preserve">Sáčky transparentní, HDPE, vel. 25 x 35cm, minimální síla 20µ </t>
  </si>
  <si>
    <t>Sáčky transparentní, HDPE, vel. 45 x 30cm, minimální síla 20µ</t>
  </si>
  <si>
    <t>Pytle potravinářské transparentní, LDPE, vel. 70 x 110cm, minimální síla 60µ</t>
  </si>
  <si>
    <t>Fólie potravinářské transparentní, LDPE, vel. 30 x 30000cm, minimální síla 9µ</t>
  </si>
  <si>
    <t>Fólie potravinářské transparentní, LDPE, vel. 45 x 30000cm, minimální síla 12µ</t>
  </si>
  <si>
    <t>Přířezy skládané transparentní, HDPE, vel. 50 x 70cm, minimální síla 6µ</t>
  </si>
  <si>
    <t>Mikroténová taška bílá, LDPE, vel. 30 x 54cm, minimální síla 100µ</t>
  </si>
  <si>
    <t>Zavírací páska transparentní, PP, vel. 4,8 x 6600 cm, minimální síla 43µ</t>
  </si>
  <si>
    <t>Domov na Jarošce, příspěvková organizace</t>
  </si>
  <si>
    <t>Mateřská škola, základní škola, praktická škola a dětský domov Kyjov, příspěvková organizace</t>
  </si>
  <si>
    <t>Gymnázium T. G. Masaryka Zastávka, příspěvková organizace</t>
  </si>
  <si>
    <t>Základní škola a praktická škola, Slavkov u Brna, příspěvková organizace</t>
  </si>
  <si>
    <t>1000ks</t>
  </si>
  <si>
    <t>Správa a údržba silnic Jihomoravského kraje, příspěvková organizace kraje</t>
  </si>
  <si>
    <t>Středisko volného času Miroslav, příspěvková organizace</t>
  </si>
  <si>
    <t>JM</t>
  </si>
  <si>
    <t>Název</t>
  </si>
  <si>
    <t>JM_001</t>
  </si>
  <si>
    <t>Střední škola polytechnická Brno, Jílová, příspěvková organizace</t>
  </si>
  <si>
    <t>Jílová 164/36g, 639 00 Brno</t>
  </si>
  <si>
    <t>JM_006</t>
  </si>
  <si>
    <t>Vyšší odborná škola zdravotnická Brno, příspěvková organizace</t>
  </si>
  <si>
    <t>Kounicova 684/16, 602 00 Brno</t>
  </si>
  <si>
    <t>JM_011</t>
  </si>
  <si>
    <t>Zámeček Střelice, příspěvková organizace</t>
  </si>
  <si>
    <t>Tetčická 311/69, 664 47 Střelice</t>
  </si>
  <si>
    <t>JM_018</t>
  </si>
  <si>
    <t>Nemocnice Znojmo, příspěvková organizace</t>
  </si>
  <si>
    <t>MUDr. Jana Janského 2675/11, 669 02 Znojmo</t>
  </si>
  <si>
    <t>JM_023</t>
  </si>
  <si>
    <t>Středisko volného času Znojmo, příspěvková organizace</t>
  </si>
  <si>
    <t>Sokolská 1277/8, 669 02 Znojmo</t>
  </si>
  <si>
    <t>JM_029</t>
  </si>
  <si>
    <t>Obchodní akademie a vyšší odborná škola Brno, Kotlářská, příspěvková organizace</t>
  </si>
  <si>
    <t>Kotlářská 263/9, 611 53 Brno</t>
  </si>
  <si>
    <t>JM_032</t>
  </si>
  <si>
    <t>Žerotínovo náměstí 449/3, 602 00 Brno</t>
  </si>
  <si>
    <t>JM_044</t>
  </si>
  <si>
    <t>Kostelní 197/16, 671 72 Miroslav</t>
  </si>
  <si>
    <t>JM_046</t>
  </si>
  <si>
    <t>Domov pro seniory Skalice, příspěvková organizace</t>
  </si>
  <si>
    <t>Skalice 1, 671 71 Hostěradice</t>
  </si>
  <si>
    <t>JM_053</t>
  </si>
  <si>
    <t>Střední průmyslová škola Brno, Purkyňova, příspěvková organizace</t>
  </si>
  <si>
    <t>Purkyňova 2832/97, 612 00 Brno</t>
  </si>
  <si>
    <t>JM_058</t>
  </si>
  <si>
    <t>Zdravotnická záchranná služba Jihomoravského kraje, příspěvková organizace</t>
  </si>
  <si>
    <t>Kamenice 798/1d, 625 00 Brno</t>
  </si>
  <si>
    <t>JM_075</t>
  </si>
  <si>
    <t>Dětský domov Tišnov, příspěvková organizace</t>
  </si>
  <si>
    <t>Purkyňova 1685, 666 01 Tišnov</t>
  </si>
  <si>
    <t>JM_089</t>
  </si>
  <si>
    <t>Mateřská škola, základní škola a střední škola Vyškov, příspěvková organizace</t>
  </si>
  <si>
    <t>Sídliště Osvobození 681/55, 682 01 Vyškov</t>
  </si>
  <si>
    <t>JM_090</t>
  </si>
  <si>
    <t>Nemocnice Vyškov, příspěvková organizace</t>
  </si>
  <si>
    <t>Purkyňova 235/36, 682 01 Vyškov</t>
  </si>
  <si>
    <t>JM_095</t>
  </si>
  <si>
    <t>Střední škola Brno, Charbulova, příspěvková organizace</t>
  </si>
  <si>
    <t>Charbulova 1072/106, 618 00 Brno</t>
  </si>
  <si>
    <t>JM_096</t>
  </si>
  <si>
    <t>Integrovaná střední škola automobilní Brno, příspěvková organizace</t>
  </si>
  <si>
    <t>Křižíkova 106/15, 612 00 Brno</t>
  </si>
  <si>
    <t>JM_098</t>
  </si>
  <si>
    <t>Střední škola F. D. Roosevelta Brno, příspěvková organizace</t>
  </si>
  <si>
    <t>Křižíkova 1694/11, 612 00 Brno</t>
  </si>
  <si>
    <t>JM_099</t>
  </si>
  <si>
    <t>Maják - středisko volného času Vyškov, příspěvková organizace</t>
  </si>
  <si>
    <t>Brněnská 139/7, 682 01 Vyškov</t>
  </si>
  <si>
    <t>JM_102</t>
  </si>
  <si>
    <t>Vzdělávací institut pro Moravu, zařízení pro další vzdělávání pedagogických pracovníků a středisko služeb školám, příspěvková organizace</t>
  </si>
  <si>
    <t>Hybešova 253/15, 602 00 Brno</t>
  </si>
  <si>
    <t>JM_109</t>
  </si>
  <si>
    <t>Střední škola grafická Brno, příspěvková organizace</t>
  </si>
  <si>
    <t>Šmahova 364/110, 627 00 Brno</t>
  </si>
  <si>
    <t>JM_116</t>
  </si>
  <si>
    <t>Mateřská škola a základní škola při Fakultní nemocnici Brno, příspěvková organizace</t>
  </si>
  <si>
    <t>Černopolní 212/9, 613 00 Brno</t>
  </si>
  <si>
    <t>JM_127</t>
  </si>
  <si>
    <t>Střední škola Slavkov – Austerlitz, příspěvková organizace</t>
  </si>
  <si>
    <t>Tyršova 479, 684 01 Slavkov u Brna</t>
  </si>
  <si>
    <t>JM_128</t>
  </si>
  <si>
    <t>Malinovského 280, 684 01 Slavkov u Brna</t>
  </si>
  <si>
    <t>JM_131</t>
  </si>
  <si>
    <t>Mateřská škola, základní škola a praktická škola Boskovice, příspěvková organizace</t>
  </si>
  <si>
    <t>Štefanikova 1142/2, 680 01 Boskovice</t>
  </si>
  <si>
    <t>JM_134</t>
  </si>
  <si>
    <t>Domov Hvězda, příspěvková organizace</t>
  </si>
  <si>
    <t>Nové Hvězdlice 200, 683 41 Bohdalice</t>
  </si>
  <si>
    <t>JM_135</t>
  </si>
  <si>
    <t>Za Humny 3304/46, 697 01 Kyjov, Boršov</t>
  </si>
  <si>
    <t>JM_141</t>
  </si>
  <si>
    <t>Centrum služeb pro seniory Kyjov, příspěvková organizace</t>
  </si>
  <si>
    <t>Strážovská 1095/1, 697 01 Kyjov</t>
  </si>
  <si>
    <t>JM_145</t>
  </si>
  <si>
    <t>Střední škola polytechnická Kyjov, příspěvková organizace</t>
  </si>
  <si>
    <t>Havlíčkova 1223/17, 697 01 Kyjov</t>
  </si>
  <si>
    <t>JM_152</t>
  </si>
  <si>
    <t>Základní škola a praktická škola Veselí nad Moravou, příspěvková organizace</t>
  </si>
  <si>
    <t>Kollárova 1045, 698 01 Veselí nad Moravou</t>
  </si>
  <si>
    <t>JM_154</t>
  </si>
  <si>
    <t>Paprsek, příspěvková organizace</t>
  </si>
  <si>
    <t>K Čihadlu 679, 679 63 Velké Opatovice</t>
  </si>
  <si>
    <t>JM_157</t>
  </si>
  <si>
    <t>Sociální služby Šebetov, příspěvková organizace</t>
  </si>
  <si>
    <t>Šebetov 1, 679 35 Šebetov</t>
  </si>
  <si>
    <t>JM_160</t>
  </si>
  <si>
    <t>Nemocnice Letovice, příspěvková organizace</t>
  </si>
  <si>
    <t>Pod klášterem 55/17, 679 61 Letovice</t>
  </si>
  <si>
    <t>JM_161</t>
  </si>
  <si>
    <t>Masarykova střední škola Letovice, příspěvková organizace</t>
  </si>
  <si>
    <t>Tyršova 500/6, 679 61 Letovice</t>
  </si>
  <si>
    <t>JM_166</t>
  </si>
  <si>
    <t>Střední škola Edvarda Beneše Břeclav, příspěvková organizace</t>
  </si>
  <si>
    <t>nábř. Komenského 1126/1, 690 25 Břeclav</t>
  </si>
  <si>
    <t>JM_173</t>
  </si>
  <si>
    <t>Domov Božice, příspěvková organizace</t>
  </si>
  <si>
    <t>Božice 188, 671 64 Božice</t>
  </si>
  <si>
    <t>JM_178</t>
  </si>
  <si>
    <t>SENIOR centrum Blansko, příspěvková organizace</t>
  </si>
  <si>
    <t>Pod Sanatorkou 2363/3, 678 01 Blansko</t>
  </si>
  <si>
    <t>JM_184</t>
  </si>
  <si>
    <t>Domov na Polní, příspěvková organizace</t>
  </si>
  <si>
    <t>Polní 252/1, 682 01 Vyškov</t>
  </si>
  <si>
    <t>JM_191</t>
  </si>
  <si>
    <t>Regionální muzeum v Mikulově, příspěvková organizace</t>
  </si>
  <si>
    <t>Zámek 1/4, 692 01 Mikulov</t>
  </si>
  <si>
    <t>JM_194</t>
  </si>
  <si>
    <t>Základní škola při Dětské léčebně Ostrov u Macochy, příspěvková organizace</t>
  </si>
  <si>
    <t>Ostrov u Macochy č. p. 490, 679 14 Ostrov u Macochy</t>
  </si>
  <si>
    <t>JM_199</t>
  </si>
  <si>
    <t>Gymnázium Brno-Bystrc, příspěvková organizace</t>
  </si>
  <si>
    <t>Vejrostova 1143/2, 635 00 Brno</t>
  </si>
  <si>
    <t>JM_202</t>
  </si>
  <si>
    <t>Gymnázium T. G. Masaryka Hustopeče, příspěvková organizace</t>
  </si>
  <si>
    <t>Dukelské nám. 31/7, 693 31 Hustopeče</t>
  </si>
  <si>
    <t>JM_203</t>
  </si>
  <si>
    <t>Střední škola polytechnická Hustopeče, příspěvková organizace</t>
  </si>
  <si>
    <t>Masarykovo nám. 136/1, 693 01 Hustopeče</t>
  </si>
  <si>
    <t>JM_207</t>
  </si>
  <si>
    <t>S - centrum Hodonín, příspěvková organizace</t>
  </si>
  <si>
    <t>Jarošova 1717/3, 695 01 Hodonín</t>
  </si>
  <si>
    <t>JM_211</t>
  </si>
  <si>
    <t>Odborné učiliště Cvrčovice, příspěvková organizace</t>
  </si>
  <si>
    <t>Cvrčovice 131, 691 23 Pohořelice</t>
  </si>
  <si>
    <t>JM_212</t>
  </si>
  <si>
    <t>Základní umělecká škola a středisko volného času Moravský Krumlov, příspěvková organizace</t>
  </si>
  <si>
    <t>Školní 139, 672 01 Moravský Krumlov</t>
  </si>
  <si>
    <t>JM_219</t>
  </si>
  <si>
    <t>Nemocnice Ivančice, příspěvková organizace</t>
  </si>
  <si>
    <t>Široká 16, 664 91 Ivančice</t>
  </si>
  <si>
    <t>JM_229</t>
  </si>
  <si>
    <t>Domov pro seniory Zastávka, příspěvková organizace</t>
  </si>
  <si>
    <t>Sportovní 432, 664 84 Zastávka</t>
  </si>
  <si>
    <t>JM_230</t>
  </si>
  <si>
    <t>U Školy 39, 664 84 Zastávka</t>
  </si>
  <si>
    <t>JM_233</t>
  </si>
  <si>
    <t>Střední škola a základní škola Tišnov, příspěvková organizace</t>
  </si>
  <si>
    <t>nám. Míru 22, 666 25 Tišnov</t>
  </si>
  <si>
    <t>JM_236</t>
  </si>
  <si>
    <t>Domov pro seniory Bažantnice, příspěvková organizace</t>
  </si>
  <si>
    <t>třída Bří Čapků 3273/1, 695 01 Hodonín</t>
  </si>
  <si>
    <t>JM_241</t>
  </si>
  <si>
    <t>Integrovaná střední škola Hodonín, příspěvková organizace</t>
  </si>
  <si>
    <t>Lipová alej 3756/21, 695 01 Hodonín</t>
  </si>
  <si>
    <t>JM_247</t>
  </si>
  <si>
    <t>Základní umělecká škola Hodonín, příspěvková organizace</t>
  </si>
  <si>
    <t>Horní Valy 3655/2, 695 01 Hodonín</t>
  </si>
  <si>
    <t>JM_250</t>
  </si>
  <si>
    <t>Střední škola průmyslová a umělecká Hodonín, příspěvková organizace</t>
  </si>
  <si>
    <t>Brandlova 2222/32, 695 01 Hodonín</t>
  </si>
  <si>
    <t>JM_252</t>
  </si>
  <si>
    <t>JM_260</t>
  </si>
  <si>
    <t>Střední škola Strážnice, příspěvková organizace</t>
  </si>
  <si>
    <t>J. Skácela 890, 696 62 Strážnice</t>
  </si>
  <si>
    <t>JM_263</t>
  </si>
  <si>
    <t>Středisko volného času Slovácko, příspěvková organizace</t>
  </si>
  <si>
    <t>Hutník 1495, 698 01 Veselí nad Moravou</t>
  </si>
  <si>
    <t>JM_266</t>
  </si>
  <si>
    <t>Střední škola elektrotechnická a energetická Sokolnice, příspěvková organizace</t>
  </si>
  <si>
    <t>Učiliště 496, 664 52 Sokolnice</t>
  </si>
  <si>
    <t>JM_274</t>
  </si>
  <si>
    <t>Domov pro seniory Černá Hora, příspěvková organizace</t>
  </si>
  <si>
    <t>Zámecká 1, 679 21 Černá Hora</t>
  </si>
  <si>
    <t>JM_280</t>
  </si>
  <si>
    <t>Nemocnice Hustopeče, příspěvková organizace</t>
  </si>
  <si>
    <t>Brněnská 716/41, 693 01 Hustopeče</t>
  </si>
  <si>
    <t>JM_283</t>
  </si>
  <si>
    <t>Domov u Františka, příspěvková organizace</t>
  </si>
  <si>
    <t>Rybářská 1079, 664 53 Újezd u Brna</t>
  </si>
  <si>
    <t>JM_286</t>
  </si>
  <si>
    <t>Domov pro seniory Hustopeče, příspěvková organizace</t>
  </si>
  <si>
    <t>Hybešova 1497/7,693 01 Hustopeče</t>
  </si>
  <si>
    <t xml:space="preserve">Fólie potravinářské transparentní, LDPE, vel. 50 x 30000cm, minimální síla 23µ </t>
  </si>
  <si>
    <t>IČO</t>
  </si>
  <si>
    <t>Sídlo</t>
  </si>
  <si>
    <t>jm2</t>
  </si>
  <si>
    <t xml:space="preserve">SÚS JMK, Ořechovská 35, Brno </t>
  </si>
  <si>
    <t xml:space="preserve">SÚS JMK, Komenského 1685/2, Blansko </t>
  </si>
  <si>
    <t>SÚS JMK, Lidická 3446/132A, Břeclav</t>
  </si>
  <si>
    <t>SÚS JMK, Kotkova 3725/24, Znojmo</t>
  </si>
  <si>
    <t>Místa plnění pověřujícího zadavatele Správa a údržba silnic Jihomoravského kraje (IČO 70932581):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</si>
</sst>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0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5B3F86"/>
      </left>
      <right style="thin">
        <color rgb="FF442F65"/>
      </right>
      <top style="thin">
        <color rgb="FF442F65"/>
      </top>
      <bottom style="thin">
        <color rgb="FF442F6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442F65"/>
      </right>
      <top style="thin">
        <color rgb="FFFFFFFF"/>
      </top>
      <bottom style="thin">
        <color rgb="FFFFFFFF"/>
      </bottom>
      <diagonal/>
    </border>
    <border>
      <left/>
      <right style="thin">
        <color rgb="FF442F65"/>
      </right>
      <top style="thin">
        <color rgb="FFFFFFFF"/>
      </top>
      <bottom style="thin">
        <color indexed="64"/>
      </bottom>
      <diagonal/>
    </border>
    <border>
      <left style="thin">
        <color rgb="FF442F65"/>
      </left>
      <right style="thin">
        <color rgb="FF5B3F86"/>
      </right>
      <top style="thin">
        <color rgb="FF442F65"/>
      </top>
      <bottom/>
      <diagonal/>
    </border>
    <border>
      <left style="thin">
        <color rgb="FF5B3F86"/>
      </left>
      <right style="thin">
        <color rgb="FF5B3F86"/>
      </right>
      <top style="thin">
        <color rgb="FF442F65"/>
      </top>
      <bottom/>
      <diagonal/>
    </border>
    <border>
      <left style="thin">
        <color rgb="FF5B3F86"/>
      </left>
      <right/>
      <top style="thin">
        <color rgb="FF442F65"/>
      </top>
      <bottom/>
      <diagonal/>
    </border>
    <border>
      <left style="thin">
        <color rgb="FFF8F9FA"/>
      </left>
      <right style="thin">
        <color rgb="FFF8F9FA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6" fillId="0" borderId="0"/>
  </cellStyleXfs>
  <cellXfs count="22">
    <xf numFmtId="0" fontId="0" fillId="0" borderId="0" xfId="0"/>
    <xf numFmtId="0" fontId="5" fillId="0" borderId="1" xfId="5" applyFont="1" applyBorder="1" applyAlignment="1">
      <alignment horizontal="center" vertical="center" wrapText="1"/>
    </xf>
    <xf numFmtId="0" fontId="5" fillId="0" borderId="0" xfId="5" applyFont="1" applyAlignment="1">
      <alignment horizontal="center" wrapText="1"/>
    </xf>
    <xf numFmtId="0" fontId="6" fillId="0" borderId="0" xfId="5" applyAlignment="1">
      <alignment horizontal="center" vertical="center"/>
    </xf>
    <xf numFmtId="0" fontId="6" fillId="0" borderId="3" xfId="5" applyBorder="1" applyAlignment="1">
      <alignment horizontal="center" vertical="center"/>
    </xf>
    <xf numFmtId="3" fontId="6" fillId="0" borderId="0" xfId="5" applyNumberFormat="1" applyAlignment="1">
      <alignment horizontal="center" vertical="center"/>
    </xf>
    <xf numFmtId="0" fontId="6" fillId="0" borderId="0" xfId="5"/>
    <xf numFmtId="3" fontId="6" fillId="0" borderId="0" xfId="0" applyNumberFormat="1" applyFont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0" fontId="5" fillId="0" borderId="6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5" fillId="0" borderId="8" xfId="5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/>
    </xf>
    <xf numFmtId="0" fontId="2" fillId="0" borderId="2" xfId="5" quotePrefix="1" applyFont="1" applyBorder="1" applyAlignment="1">
      <alignment horizontal="center" vertical="center"/>
    </xf>
    <xf numFmtId="0" fontId="2" fillId="0" borderId="2" xfId="5" applyFont="1" applyBorder="1" applyAlignment="1">
      <alignment horizontal="left" vertical="center" wrapText="1"/>
    </xf>
    <xf numFmtId="0" fontId="2" fillId="0" borderId="2" xfId="5" applyFont="1" applyBorder="1" applyAlignment="1">
      <alignment horizontal="center" vertical="center"/>
    </xf>
    <xf numFmtId="3" fontId="2" fillId="0" borderId="2" xfId="5" applyNumberFormat="1" applyFont="1" applyBorder="1" applyAlignment="1">
      <alignment horizontal="center" vertical="center"/>
    </xf>
    <xf numFmtId="3" fontId="6" fillId="0" borderId="2" xfId="5" applyNumberFormat="1" applyBorder="1" applyAlignment="1">
      <alignment horizontal="center" vertical="center"/>
    </xf>
    <xf numFmtId="0" fontId="2" fillId="0" borderId="2" xfId="5" applyFont="1" applyBorder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</cellXfs>
  <cellStyles count="6">
    <cellStyle name="Hypertextový odkaz 2" xfId="3" xr:uid="{4DCE1A9E-F354-4176-949E-5A4D5FFCCA53}"/>
    <cellStyle name="Normální" xfId="0" builtinId="0"/>
    <cellStyle name="Normální 2" xfId="1" xr:uid="{76375193-8EB2-4F5D-96E1-1AE9D7C694CB}"/>
    <cellStyle name="normální 3" xfId="4" xr:uid="{B6907B86-26A2-4A92-A2D9-A81827B1D1EF}"/>
    <cellStyle name="normální 4 2" xfId="2" xr:uid="{D39992E5-678C-414F-B753-A7713AC02D52}"/>
    <cellStyle name="Normální 7" xfId="5" xr:uid="{529A3162-A37B-4410-A73F-D4668A2BA4B4}"/>
  </cellStyles>
  <dxfs count="164"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color theme="1"/>
        <family val="2"/>
        <charset val="238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color theme="1"/>
        <family val="2"/>
        <charset val="238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color theme="1"/>
        <family val="2"/>
        <charset val="238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F8F9FA"/>
        </left>
        <right style="thin">
          <color rgb="FFF8F9FA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0"/>
        <name val="Arial"/>
        <scheme val="minor"/>
      </font>
      <alignment horizontal="center" textRotation="0" wrapText="1" indent="0" justifyLastLine="0" shrinkToFit="0" readingOrder="0"/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Odpovědi formuláře 1-style" pivot="0" count="3" xr9:uid="{00000000-0011-0000-FFFF-FFFF00000000}">
      <tableStyleElement type="headerRow" dxfId="163"/>
      <tableStyleElement type="firstRowStripe" dxfId="162"/>
      <tableStyleElement type="secondRowStripe" dxfId="16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6D7CD6-8F68-4A2B-8B4E-50EB7C63C6A5}" name="Form_Responses13" displayName="Form_Responses13" ref="A1:CA64" totalsRowCount="1" headerRowDxfId="160" totalsRowDxfId="159">
  <autoFilter ref="A1:CA63" xr:uid="{00000000-000C-0000-FFFF-FFFF00000000}"/>
  <tableColumns count="79">
    <tableColumn id="1" xr3:uid="{5D8140D2-B985-4157-9FB8-AAB89751DDE9}" name="IČO" dataDxfId="158" totalsRowDxfId="157"/>
    <tableColumn id="2" xr3:uid="{23FFB2E5-33B5-4612-BC35-04784A4E5932}" name="Název" dataDxfId="156" totalsRowDxfId="155" dataCellStyle="Normální 7"/>
    <tableColumn id="3" xr3:uid="{EE11A41D-7FBC-41A3-8DB6-4125C4B137C3}" name="Sídlo" dataDxfId="154" totalsRowDxfId="153" dataCellStyle="Normální 7"/>
    <tableColumn id="4" xr3:uid="{33B3C483-A056-4CE5-B1F9-6890FD7149C1}" name="JM" dataDxfId="152" totalsRowDxfId="151" dataCellStyle="Normální 7"/>
    <tableColumn id="6" xr3:uid="{6BED80A1-C5B8-4C13-84E0-F5F34F0A3CE0}" name="Pytle odpadní, HDPE, vel. 49 x 60cm, minimální síla 15µ, barva černá (cca 30 - 35l)" totalsRowFunction="sum" dataDxfId="150" totalsRowDxfId="149"/>
    <tableColumn id="7" xr3:uid="{40557B87-947E-4E1D-B203-AC44C1664C70}" name="Pytle odpadní, HDPE, vel. 49 x 60cm, minimální síla 15µ, barva bílá  (cca 30 - 35l), " totalsRowFunction="sum" dataDxfId="148" totalsRowDxfId="147"/>
    <tableColumn id="8" xr3:uid="{417B953C-01A4-41F1-81C7-A0D5EA9B4B74}" name="Pytle odpadní, HDPE, vel. 49 x 60cm, minimální síla 20µ , barva žlutá  (cca 30 - 35l)" totalsRowFunction="sum" dataDxfId="146" totalsRowDxfId="145"/>
    <tableColumn id="9" xr3:uid="{CD413484-C062-405F-8CEA-9880B5716CAD}" name="Pytle odpadní, LDPE, vel. 50 x 60cm, minimální síla 40µ, barva černá (cca 35l)" totalsRowFunction="sum" dataDxfId="144" totalsRowDxfId="143"/>
    <tableColumn id="10" xr3:uid="{4CBC536D-0C67-4E8E-85DB-88271DD9E6AA}" name="Pytle odpadní, HDPE, vel. 50 x 60cm, minimální síla 20µ, barva černá (cca 35l) " totalsRowFunction="sum" dataDxfId="142" totalsRowDxfId="141"/>
    <tableColumn id="11" xr3:uid="{BEA83B3B-A531-4F46-A879-71B7B5C1D96D}" name="Pytle odpadní, HDPE, vel. 50 x 60cm, minimální síla 20µ, barva bílá  (cca 35l), " totalsRowFunction="sum" dataDxfId="140" totalsRowDxfId="139"/>
    <tableColumn id="12" xr3:uid="{15B6AE86-5A28-47F9-9E79-797F60E508D8}" name="Pytle odpadní, LDPE, vel. 50 x 60cm, minimální síla 50µ, barva černá  (cca 35l)" totalsRowFunction="sum" dataDxfId="138" totalsRowDxfId="137"/>
    <tableColumn id="13" xr3:uid="{911413BD-24F2-400C-8D4D-F0D58637D85A}" name="Pytle odpadní, LDPE, vel. 50 x 60cm, minimální síla 50µ, barva červená  (cca 35l)" totalsRowFunction="sum" dataDxfId="136" totalsRowDxfId="135"/>
    <tableColumn id="14" xr3:uid="{83BE66EA-653B-4493-823A-F25C3167732E}" name="Pytle odpadní, LDPE, vel. 50 x 60cm, minimální síla 60µ, barva černá  (cca 35l)" totalsRowFunction="sum" dataDxfId="134" totalsRowDxfId="133"/>
    <tableColumn id="15" xr3:uid="{D0C95615-2015-4CBC-958F-AFFBF9B211A8}" name="Pytle odpadní, LDPE, vel. 50 x 60cm, minimální síla 60µ, barva červená  (cca 35l)" totalsRowFunction="sum" dataDxfId="132" totalsRowDxfId="131"/>
    <tableColumn id="16" xr3:uid="{4B38C1C5-2CDE-4917-9155-06029457295D}" name="Pytle odpadní, LDPE, vel. 50 x 60cm, minimální síla 200µ, barva černá (cca 35l)" totalsRowFunction="sum" dataDxfId="130" totalsRowDxfId="129"/>
    <tableColumn id="17" xr3:uid="{9D7A83BD-1B71-40A8-89A1-D6FAF8039589}" name="Pytle odpadní, LDPE, vel. 55 x 60cm, minimální síla 60µ, barva černá (cca 40l)" totalsRowFunction="sum" dataDxfId="128" totalsRowDxfId="127"/>
    <tableColumn id="18" xr3:uid="{43BF8142-AF4F-47E3-A2AE-80592939A4B7}" name="Pytle odpadní, LDPE, 55 x 100cm, minimální síla 60µ, barva černá  (cca 80l)" totalsRowFunction="sum" dataDxfId="126" totalsRowDxfId="125"/>
    <tableColumn id="19" xr3:uid="{BE6AF103-A837-4FBE-B6C6-DF118B00939D}" name="Pytle odpadní, LDPE, 55 x 100cm, minimální síla 60µ, barva červená  (cca 80l)" totalsRowFunction="sum" dataDxfId="124" totalsRowDxfId="123"/>
    <tableColumn id="20" xr3:uid="{3565DC16-5E44-4806-8AD9-1DABFA59663D}" name="Pytle odpadní, LDPE, 55 x 100cm, minimální síla 60µ, barva žlutá (cca 80l)" totalsRowFunction="sum" dataDxfId="122" totalsRowDxfId="121"/>
    <tableColumn id="21" xr3:uid="{553E1AC4-149B-4299-B03D-32F4266BD3BF}" name="Pytle odpadní, LDPE, vel. 55 x 100cm, minimální síla 80µ, barva černá (cca 80l)" totalsRowFunction="sum" dataDxfId="120" totalsRowDxfId="119"/>
    <tableColumn id="22" xr3:uid="{B245851B-AC69-462D-A5D2-F8F182D4671A}" name="Pytle odpadní, LDPE, vel. 55 x 100cm, minimální síla 80µ, barva červená (cca 80l)" totalsRowFunction="sum" dataDxfId="118" totalsRowDxfId="117"/>
    <tableColumn id="23" xr3:uid="{E9FFD1D2-74AD-410E-A281-2BA8EBE16CCF}" name="Pytle odpadní, HDPE, 60 x 50cm, minimální síla 20µ, barva zelená (cca 30l)" totalsRowFunction="sum" dataDxfId="116" totalsRowDxfId="115"/>
    <tableColumn id="24" xr3:uid="{58368D01-20FA-4BB8-9EDD-610CC0A5A643}" name="Pytle odpadní, HDPE, 60 x 70cm, minimální síla 20µ, barva modrá (cca 60l)" totalsRowFunction="sum" dataDxfId="114" totalsRowDxfId="113"/>
    <tableColumn id="25" xr3:uid="{1DC814B6-5BA9-42AB-9E75-AF632474F812}" name="Pytle odpadní, HDPE, 60 x 80cm, minimální síla 15µ, barva černá (cca 60l)" totalsRowFunction="sum" dataDxfId="112" totalsRowDxfId="111"/>
    <tableColumn id="26" xr3:uid="{2DB9A4D0-F769-45D3-AA39-15BB70845FBC}" name="Pytle odpadní, HDPE, 60 x 80cm, minimální síla 15µ, barva transparentní (cca 60l)" totalsRowFunction="sum" dataDxfId="110" totalsRowDxfId="109"/>
    <tableColumn id="27" xr3:uid="{8F93D9BC-6805-4299-BCC1-330BE5DC65BC}" name="Pytle odpadní, LDPE, 60 x 80cm, minimální síla 35µ, barva černá (cca 60l)" totalsRowFunction="sum" dataDxfId="108" totalsRowDxfId="107"/>
    <tableColumn id="28" xr3:uid="{08629B1E-B180-46D0-B354-C0A20640E4C7}" name="Pytle odpadní, HDPE, vel. 63 x 85cm, minimální 15µ, barva bílá (cca 72l)" totalsRowFunction="sum" dataDxfId="106" totalsRowDxfId="105"/>
    <tableColumn id="29" xr3:uid="{E85AFBB2-B1CC-4771-B3C8-F24955914E59}" name="Pytle odpadní, HDPE, vel. 63 x 85cm, minimální 15µ, barva transparentní  (cca 72l)" totalsRowFunction="sum" dataDxfId="104" totalsRowDxfId="103"/>
    <tableColumn id="30" xr3:uid="{BD8D53F1-C68C-406D-A305-FA0FD75BD3C8}" name="Pytle odpadní, HDPE, vel. 64 x 71cm, síla 20µ, barva  černá (cca 60l)" totalsRowFunction="sum" dataDxfId="102" totalsRowDxfId="101"/>
    <tableColumn id="31" xr3:uid="{AA6352D4-1A26-43BF-ABED-EB1357A6A957}" name="Pytle odpadní, LDPE,vel.  65 x 78cm, síla 60µ, barva černá (cca 60l)" totalsRowFunction="sum" dataDxfId="100" totalsRowDxfId="99"/>
    <tableColumn id="32" xr3:uid="{3C15D8B4-FFDC-4D42-BB58-CAD6F3860CAC}" name="Pytle odpadní, zatahovací, LDPE, vel. 70 x 100cm, síla 50µ, barva modrá (cca 110l)" totalsRowFunction="sum" dataDxfId="98" totalsRowDxfId="97"/>
    <tableColumn id="33" xr3:uid="{D569123A-4D9E-48D7-967F-52DCF9DEADEB}" name="Pytle odpadní, LDPE, vel. 70 x 110cm, síla 40µ, barva černá  (cca 110l)" totalsRowFunction="sum" dataDxfId="96" totalsRowDxfId="95"/>
    <tableColumn id="34" xr3:uid="{9CA39A69-4836-4F4E-B2E4-1CFA0B8D0F40}" name="Pytle odpadní, LDPE, vel. 70 x 110cm, síla 40µ, barva transparentní, (cca 110l)" totalsRowFunction="sum" dataDxfId="94" totalsRowDxfId="93"/>
    <tableColumn id="35" xr3:uid="{45F4C0AF-207B-49CD-A781-D03BF4F7D183}" name="Pytle odpadní, LDPE, vel. 70 x 110cm, síla 40µ, barva modrá  (cca 110l)" totalsRowFunction="sum" dataDxfId="92" totalsRowDxfId="91"/>
    <tableColumn id="36" xr3:uid="{1EC3F175-7D16-407D-98E6-798455A8D346}" name="Pytle odpadní, LDPE, vel. 70 x 110cm, síla 40µ, barva červená (cca 110l)" totalsRowFunction="sum" dataDxfId="90" totalsRowDxfId="89"/>
    <tableColumn id="37" xr3:uid="{C2E9EED3-AC39-4470-A9BB-8A7DE6862134}" name="Pytle odpadní, LDPE, vel. 70 x 110cm, síla 40µ, barva žlutá (cca 110l)" totalsRowFunction="sum" dataDxfId="88" totalsRowDxfId="87"/>
    <tableColumn id="38" xr3:uid="{FCE68774-1D8F-4CC0-BBD1-F169F58BB624}" name="Pytle odpadní, LDPE, vel. 70 x 110cm, síla 40µ, barva zelená (cca 110l)" totalsRowFunction="sum" dataDxfId="86" totalsRowDxfId="85"/>
    <tableColumn id="39" xr3:uid="{2EEFAE35-8673-4C1C-B7E8-E7B5D26BB244}" name="Pytle odpadní, LDPE, vel. 70 x 110cm, síla 60µ, barva černá (cca 110l)" totalsRowFunction="sum" dataDxfId="84" totalsRowDxfId="83"/>
    <tableColumn id="40" xr3:uid="{25E88D65-BDB4-44F8-9983-871A057A4D34}" name="Pytle odpadní, LDPE, vel. 70 x 110cm, síla 60µ, barva transparentní (cca 110l)" totalsRowFunction="sum" dataDxfId="82" totalsRowDxfId="81"/>
    <tableColumn id="41" xr3:uid="{0A12E013-A4F1-4357-90B8-D0FD9AC1FCDE}" name="Pytle odpadní, LDPE, vel. 70 x 110cm, síla 60µ, barva modrá (cca 110l)" totalsRowFunction="sum" dataDxfId="80" totalsRowDxfId="79"/>
    <tableColumn id="42" xr3:uid="{C2A27439-3995-4314-BB90-B145EEC575F1}" name="Pytle odpadní, LDPE, vel. 70 x 110cm, síla 60µ, barva červená (cca 110l)" totalsRowFunction="sum" dataDxfId="78" totalsRowDxfId="77"/>
    <tableColumn id="43" xr3:uid="{DABF83BC-4790-4673-A74F-E42B491920F2}" name="Pytle odpadní, LDPE, vel. 70 x 110cm, síla 60µ, barva žlutá (cca 110l)" totalsRowFunction="sum" dataDxfId="76" totalsRowDxfId="75"/>
    <tableColumn id="44" xr3:uid="{666069CB-2C1D-479E-B81B-961AC3C8E412}" name="Pytle odpadní, LDPE, vel. 70 x 110cm, síla 60µ, barva zelená (cca 110l)" totalsRowFunction="sum" dataDxfId="74" totalsRowDxfId="73"/>
    <tableColumn id="45" xr3:uid="{FEE60765-9E9E-46D3-8F38-8E5F5EFA267B}" name="Pytle odpadní, LDPE, vel. 70 x 110cm, minimální síla 80µ, barva černá (cca 110l)" totalsRowFunction="sum" dataDxfId="72" totalsRowDxfId="71"/>
    <tableColumn id="46" xr3:uid="{7A15F00C-CDB6-45BC-A2A8-A6AD4BFB1A9B}" name="Pytle odpadní, LDPE, vel. 70 x 110cm, minimální síla 80µ, barva transparentní (cca 110l)" totalsRowFunction="sum" dataDxfId="70" totalsRowDxfId="69"/>
    <tableColumn id="47" xr3:uid="{CB04A71E-26FE-4735-9E77-F7C0157DE101}" name="Pytle odpadní, LDPE, vel. 70 x 110cm, minimální síla 80µ, barva modrá (cca 110l)" totalsRowFunction="sum" dataDxfId="68" totalsRowDxfId="67"/>
    <tableColumn id="48" xr3:uid="{43976051-A08F-4BD7-8E12-53AF4AE234DB}" name="Pytle odpadní, LDPE, vel. 70 x 110cm, minimální síla 80µ, barva červená (cca 110l)" totalsRowFunction="sum" dataDxfId="66" totalsRowDxfId="65"/>
    <tableColumn id="49" xr3:uid="{212A491A-7936-4E3C-80A4-6846E7A86E7D}" name="Pytle odpadní, LDPE, vel. 70 x 110cm, minimální síla 80µ, barva žlutá (cca 110l)" totalsRowFunction="sum" dataDxfId="64" totalsRowDxfId="63"/>
    <tableColumn id="50" xr3:uid="{7BF7974E-E3BD-4B81-A24F-E410CCBDC5FA}" name="Pytle odpadní, LDPE, vel. 70 x 110cm, minimální síla 80µ, barva zelená (cca 110l)" totalsRowFunction="sum" dataDxfId="62" totalsRowDxfId="61"/>
    <tableColumn id="51" xr3:uid="{C8EB3FF8-41E5-4135-9026-7B1CDD8F445E}" name="Pytle odpadní, LDPE, vel. 70 x 110cm, minimální síla 100µ, barva černá (cca 110l)" totalsRowFunction="sum" dataDxfId="60" totalsRowDxfId="59"/>
    <tableColumn id="52" xr3:uid="{FE6E9AC6-FF39-4262-B39A-8FBEF4F14704}" name="Pytle odpadní, LDPE, vel. 70 x 110cm, minimální síla 100µ, barva modrá (cca 110l)" totalsRowFunction="sum" dataDxfId="58" totalsRowDxfId="57"/>
    <tableColumn id="53" xr3:uid="{CC24C2C5-819E-4A9A-9E15-D2DAD527500B}" name="Pytle odpadní, LDPE, vel. 70 x 110cm, minimální síla 100µ, barva červená (cca 110l)" totalsRowFunction="sum" dataDxfId="56" totalsRowDxfId="55"/>
    <tableColumn id="54" xr3:uid="{6E06DADD-B5C3-41C0-8C3F-9282842DA129}" name="Pytle odpadní, LDPE, vel. 70 x 110cm, minimální síla 100µ, barva žlutá (cca 110l)" totalsRowFunction="sum" dataDxfId="54" totalsRowDxfId="53"/>
    <tableColumn id="55" xr3:uid="{D47491F6-685F-4E15-BAA3-08CF23179BE4}" name="Pytle odpadní, LDPE, vel. 70 x 110cm, minimální síla 180µ, barva černá (cca 110l)" totalsRowFunction="sum" dataDxfId="52" totalsRowDxfId="51"/>
    <tableColumn id="56" xr3:uid="{1D74FBB7-86A3-470B-ACE6-E1A523134BAF}" name="Pytle odpadní, LDPE, vel. 70 x 110cm, minimální síla 200µ, barva černá (cca 110l)" totalsRowFunction="sum" dataDxfId="50" totalsRowDxfId="49"/>
    <tableColumn id="57" xr3:uid="{202AED09-6223-432D-9328-27BA5FDDD16E}" name="Pytle odpadní, LDPE, vel. 70 x 110cm, minimální síla 200µ, barva žlutá (cca 110l)" totalsRowFunction="sum" dataDxfId="48" totalsRowDxfId="47"/>
    <tableColumn id="58" xr3:uid="{0DE27A54-2F1F-43A2-880F-01671B066BE0}" name="Pytle odpadní - BIOODPAD s potiskem, LDPE, vel. 70 x 110cm, minimální síla 100µ, barva červená (cca 110l)" totalsRowFunction="sum" dataDxfId="46" totalsRowDxfId="45"/>
    <tableColumn id="59" xr3:uid="{B57E3161-8F26-4E6E-A148-E5BB0D17123B}" name="Pytle odpadní, LDPE, vel. 70 x 120cm, minimální síla 100µ, barva modrá (cca 120l)" totalsRowFunction="sum" dataDxfId="44" totalsRowDxfId="43"/>
    <tableColumn id="60" xr3:uid="{1D8193E3-7AA0-4D4A-9D4F-842E1CB0FC9D}" name="Pytle odpadní, LDPE, vel. 70 x 120cm, minimální síla 100µ, barva černá (cca 120l)" totalsRowFunction="sum" dataDxfId="42" totalsRowDxfId="41"/>
    <tableColumn id="61" xr3:uid="{5808112C-DEBC-4F3E-989C-75040D0AFF45}" name="Pytle odpadní, LDPE, vel. 80 x 120cm, minimální síla 100µ, barva transparentní (cca 130l)" totalsRowFunction="sum" dataDxfId="40" totalsRowDxfId="39"/>
    <tableColumn id="62" xr3:uid="{D4EC69D9-8370-42FF-9FBD-71E32D29F5B5}" name="Pytle odpadní, HDPE, vel. 85 x 63cm, minimální síla 20µ, barva bílá (cca 72l)" totalsRowFunction="sum" dataDxfId="38" totalsRowDxfId="37"/>
    <tableColumn id="63" xr3:uid="{45EE7E64-28C2-4C60-A217-3B8F9BB47105}" name="Pytle odpadní, LDPE, vel. 100 x 120cm, minimální síla 80µ, barva černá (cca 240 l)" totalsRowFunction="sum" dataDxfId="36" totalsRowDxfId="35"/>
    <tableColumn id="64" xr3:uid="{E681C013-7D5D-4084-9326-4EB31AA8CC1D}" name="Sáčky transparentní, HDPE, vel. 16 x 24cm, minimální síla 8µ" totalsRowFunction="sum" dataDxfId="34" totalsRowDxfId="33"/>
    <tableColumn id="65" xr3:uid="{00B3829B-4AC8-4E51-AAEC-F08F8A2BCB21}" name="Sáčky transparentní, HDPE, vel. 20 x 30cm, minimální síla 10µ" totalsRowFunction="sum" dataDxfId="32" totalsRowDxfId="31"/>
    <tableColumn id="66" xr3:uid="{A69E3F81-2887-4D5F-BB7E-103A0B3780BB}" name="Sáčky transparentní, HDPE, vel. 20 x 30cm, minimální síla 12µ" totalsRowFunction="sum" dataDxfId="30" totalsRowDxfId="29"/>
    <tableColumn id="67" xr3:uid="{85504CF4-9A00-4B22-BBC5-49C689F269D2}" name="Sáčky transparentní, HDPE, vel. 20 x 30cm, minimální síla 12µ - boční sklad" totalsRowFunction="sum" dataDxfId="28" totalsRowDxfId="27"/>
    <tableColumn id="68" xr3:uid="{D2282B72-5E5D-489E-A3C0-824FBD8C9AD7}" name="Sáčky transparentní, HDPE, vel. 25 x 35cm, minimální síla 9µ" totalsRowFunction="sum" dataDxfId="26" totalsRowDxfId="25"/>
    <tableColumn id="69" xr3:uid="{B6A45B31-0C4D-46ED-8061-C2BB22901B01}" name="Sáčky transparentní, HDPE, vel. 25 x 35cm, minimální síla 9µ - boční sklad" totalsRowFunction="sum" dataDxfId="24" totalsRowDxfId="23"/>
    <tableColumn id="70" xr3:uid="{DC300FBE-01B7-443E-A310-1E5964F4AE93}" name="Sáčky transparentní, HDPE, vel. 25 x 35cm (využitelná výška), minimální síla 9µ - s &quot;ušima&quot;" totalsRowFunction="sum" dataDxfId="22" totalsRowDxfId="21"/>
    <tableColumn id="71" xr3:uid="{8A1BDDEC-1812-4C56-91FA-D46AA531EAB9}" name="Sáčky transparentní, HDPE, vel. 25 x 35cm, minimální síla 20µ " totalsRowFunction="sum" dataDxfId="20" totalsRowDxfId="19"/>
    <tableColumn id="72" xr3:uid="{138A89CE-B20A-42E4-AC18-4DDFC17FD1E9}" name="Sáčky transparentní, HDPE, vel. 45 x 30cm, minimální síla 20µ" totalsRowFunction="sum" dataDxfId="18" totalsRowDxfId="17"/>
    <tableColumn id="73" xr3:uid="{56D3122E-7F74-44BA-9209-D82B83A5DF73}" name="Pytle potravinářské transparentní, LDPE, vel. 70 x 110cm, minimální síla 60µ" totalsRowFunction="sum" dataDxfId="16" totalsRowDxfId="15"/>
    <tableColumn id="74" xr3:uid="{FC476E06-0F6A-4B36-9852-390FE413F5ED}" name="Fólie potravinářské transparentní, LDPE, vel. 30 x 30000cm, minimální síla 9µ" totalsRowFunction="sum" dataDxfId="14" totalsRowDxfId="13"/>
    <tableColumn id="75" xr3:uid="{55BD8B44-4881-477F-8D1E-5B3D61A6EF2A}" name="Fólie potravinářské transparentní, LDPE, vel. 45 x 30000cm, minimální síla 12µ" totalsRowFunction="sum" dataDxfId="12" totalsRowDxfId="11"/>
    <tableColumn id="81" xr3:uid="{05421D01-E083-4A62-8F89-081FEF5ABDF3}" name="Fólie potravinářské transparentní, LDPE, vel. 50 x 30000cm, minimální síla 23µ " totalsRowFunction="sum" dataDxfId="10" totalsRowDxfId="9"/>
    <tableColumn id="76" xr3:uid="{568F6E0E-0A62-4C2C-AF07-875ECBD8B70C}" name="Přířezy skládané transparentní, HDPE, vel. 50 x 70cm, minimální síla 6µ" totalsRowFunction="sum" dataDxfId="8" totalsRowDxfId="7"/>
    <tableColumn id="77" xr3:uid="{F36CB3C1-3337-477C-B72D-73309022100A}" name="Mikroténová taška bílá, LDPE, vel. 30 x 54cm, minimální síla 100µ" totalsRowFunction="sum" dataDxfId="6" totalsRowDxfId="5"/>
    <tableColumn id="80" xr3:uid="{50C0A2F7-1ED8-459C-AF5D-224C459691BB}" name="Zavírací páska transparentní, PP, vel. 4,8 x 6600 cm, minimální síla 43µ" totalsRowFunction="sum" dataDxfId="4" totalsRowDxfId="3"/>
    <tableColumn id="78" xr3:uid="{34DA5A1C-E785-48D0-88B6-77B5FBD7BD8C}" name="jm2" dataDxfId="2" totalsRowDxfId="1">
      <calculatedColumnFormula>VLOOKUP(A2,#REF!,2,0)</calculatedColumnFormula>
    </tableColumn>
  </tableColumns>
  <tableStyleInfo name="Odpovědi formuláře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21758-B551-4907-AC75-4CBB52B9B735}">
  <sheetPr>
    <outlinePr summaryBelow="0" summaryRight="0"/>
  </sheetPr>
  <dimension ref="A1:CA70"/>
  <sheetViews>
    <sheetView tabSelected="1" topLeftCell="BS1" zoomScale="85" zoomScaleNormal="85" workbookViewId="0">
      <pane ySplit="1" topLeftCell="A2" activePane="bottomLeft" state="frozen"/>
      <selection pane="bottomLeft" activeCell="CA1" sqref="CA1:CA1048576"/>
    </sheetView>
  </sheetViews>
  <sheetFormatPr defaultColWidth="12.5703125" defaultRowHeight="15.75" customHeight="1" x14ac:dyDescent="0.2"/>
  <cols>
    <col min="1" max="1" width="18.85546875" style="6" customWidth="1"/>
    <col min="2" max="2" width="65" style="6" customWidth="1"/>
    <col min="3" max="3" width="48" style="6" customWidth="1"/>
    <col min="4" max="4" width="21" style="6" customWidth="1"/>
    <col min="5" max="78" width="20.7109375" style="6" customWidth="1"/>
    <col min="79" max="79" width="20.7109375" style="6" hidden="1" customWidth="1"/>
    <col min="80" max="85" width="18.85546875" style="6" customWidth="1"/>
    <col min="86" max="16384" width="12.5703125" style="6"/>
  </cols>
  <sheetData>
    <row r="1" spans="1:79" s="2" customFormat="1" ht="90" customHeight="1" x14ac:dyDescent="0.2">
      <c r="A1" s="10" t="s">
        <v>259</v>
      </c>
      <c r="B1" s="11" t="s">
        <v>81</v>
      </c>
      <c r="C1" s="11" t="s">
        <v>260</v>
      </c>
      <c r="D1" s="11" t="s">
        <v>80</v>
      </c>
      <c r="E1" s="11" t="s">
        <v>0</v>
      </c>
      <c r="F1" s="11" t="s">
        <v>1</v>
      </c>
      <c r="G1" s="11" t="s">
        <v>2</v>
      </c>
      <c r="H1" s="11" t="s">
        <v>3</v>
      </c>
      <c r="I1" s="11" t="s">
        <v>4</v>
      </c>
      <c r="J1" s="11" t="s">
        <v>5</v>
      </c>
      <c r="K1" s="11" t="s">
        <v>6</v>
      </c>
      <c r="L1" s="11" t="s">
        <v>7</v>
      </c>
      <c r="M1" s="11" t="s">
        <v>8</v>
      </c>
      <c r="N1" s="11" t="s">
        <v>9</v>
      </c>
      <c r="O1" s="11" t="s">
        <v>10</v>
      </c>
      <c r="P1" s="11" t="s">
        <v>11</v>
      </c>
      <c r="Q1" s="11" t="s">
        <v>12</v>
      </c>
      <c r="R1" s="11" t="s">
        <v>13</v>
      </c>
      <c r="S1" s="11" t="s">
        <v>14</v>
      </c>
      <c r="T1" s="11" t="s">
        <v>15</v>
      </c>
      <c r="U1" s="11" t="s">
        <v>16</v>
      </c>
      <c r="V1" s="11" t="s">
        <v>17</v>
      </c>
      <c r="W1" s="11" t="s">
        <v>18</v>
      </c>
      <c r="X1" s="11" t="s">
        <v>19</v>
      </c>
      <c r="Y1" s="11" t="s">
        <v>20</v>
      </c>
      <c r="Z1" s="11" t="s">
        <v>21</v>
      </c>
      <c r="AA1" s="11" t="s">
        <v>22</v>
      </c>
      <c r="AB1" s="11" t="s">
        <v>23</v>
      </c>
      <c r="AC1" s="11" t="s">
        <v>24</v>
      </c>
      <c r="AD1" s="11" t="s">
        <v>25</v>
      </c>
      <c r="AE1" s="11" t="s">
        <v>26</v>
      </c>
      <c r="AF1" s="11" t="s">
        <v>27</v>
      </c>
      <c r="AG1" s="11" t="s">
        <v>28</v>
      </c>
      <c r="AH1" s="11" t="s">
        <v>29</v>
      </c>
      <c r="AI1" s="11" t="s">
        <v>30</v>
      </c>
      <c r="AJ1" s="11" t="s">
        <v>31</v>
      </c>
      <c r="AK1" s="11" t="s">
        <v>32</v>
      </c>
      <c r="AL1" s="11" t="s">
        <v>33</v>
      </c>
      <c r="AM1" s="11" t="s">
        <v>34</v>
      </c>
      <c r="AN1" s="11" t="s">
        <v>35</v>
      </c>
      <c r="AO1" s="11" t="s">
        <v>36</v>
      </c>
      <c r="AP1" s="11" t="s">
        <v>37</v>
      </c>
      <c r="AQ1" s="11" t="s">
        <v>38</v>
      </c>
      <c r="AR1" s="11" t="s">
        <v>39</v>
      </c>
      <c r="AS1" s="11" t="s">
        <v>40</v>
      </c>
      <c r="AT1" s="11" t="s">
        <v>41</v>
      </c>
      <c r="AU1" s="11" t="s">
        <v>42</v>
      </c>
      <c r="AV1" s="11" t="s">
        <v>43</v>
      </c>
      <c r="AW1" s="11" t="s">
        <v>44</v>
      </c>
      <c r="AX1" s="11" t="s">
        <v>45</v>
      </c>
      <c r="AY1" s="11" t="s">
        <v>46</v>
      </c>
      <c r="AZ1" s="11" t="s">
        <v>47</v>
      </c>
      <c r="BA1" s="11" t="s">
        <v>48</v>
      </c>
      <c r="BB1" s="11" t="s">
        <v>49</v>
      </c>
      <c r="BC1" s="11" t="s">
        <v>50</v>
      </c>
      <c r="BD1" s="11" t="s">
        <v>51</v>
      </c>
      <c r="BE1" s="11" t="s">
        <v>52</v>
      </c>
      <c r="BF1" s="11" t="s">
        <v>53</v>
      </c>
      <c r="BG1" s="11" t="s">
        <v>54</v>
      </c>
      <c r="BH1" s="11" t="s">
        <v>55</v>
      </c>
      <c r="BI1" s="11" t="s">
        <v>56</v>
      </c>
      <c r="BJ1" s="11" t="s">
        <v>57</v>
      </c>
      <c r="BK1" s="11" t="s">
        <v>58</v>
      </c>
      <c r="BL1" s="11" t="s">
        <v>59</v>
      </c>
      <c r="BM1" s="11" t="s">
        <v>60</v>
      </c>
      <c r="BN1" s="11" t="s">
        <v>61</v>
      </c>
      <c r="BO1" s="11" t="s">
        <v>62</v>
      </c>
      <c r="BP1" s="11" t="s">
        <v>63</v>
      </c>
      <c r="BQ1" s="11" t="s">
        <v>64</v>
      </c>
      <c r="BR1" s="11" t="s">
        <v>65</v>
      </c>
      <c r="BS1" s="11" t="s">
        <v>66</v>
      </c>
      <c r="BT1" s="11" t="s">
        <v>67</v>
      </c>
      <c r="BU1" s="11" t="s">
        <v>68</v>
      </c>
      <c r="BV1" s="11" t="s">
        <v>69</v>
      </c>
      <c r="BW1" s="12" t="s">
        <v>258</v>
      </c>
      <c r="BX1" s="11" t="s">
        <v>70</v>
      </c>
      <c r="BY1" s="11" t="s">
        <v>71</v>
      </c>
      <c r="BZ1" s="12" t="s">
        <v>72</v>
      </c>
      <c r="CA1" s="1" t="s">
        <v>261</v>
      </c>
    </row>
    <row r="2" spans="1:79" s="3" customFormat="1" ht="30" customHeight="1" x14ac:dyDescent="0.2">
      <c r="A2" s="14">
        <v>638013</v>
      </c>
      <c r="B2" s="15" t="s">
        <v>83</v>
      </c>
      <c r="C2" s="19" t="s">
        <v>84</v>
      </c>
      <c r="D2" s="14" t="s">
        <v>82</v>
      </c>
      <c r="E2" s="17"/>
      <c r="F2" s="17"/>
      <c r="G2" s="17"/>
      <c r="H2" s="17"/>
      <c r="I2" s="17"/>
      <c r="J2" s="17"/>
      <c r="K2" s="17"/>
      <c r="L2" s="17"/>
      <c r="M2" s="17">
        <v>1500</v>
      </c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>
        <v>3000</v>
      </c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>
        <v>800</v>
      </c>
      <c r="AY2" s="17"/>
      <c r="AZ2" s="17"/>
      <c r="BA2" s="17"/>
      <c r="BB2" s="17"/>
      <c r="BC2" s="17"/>
      <c r="BD2" s="17"/>
      <c r="BE2" s="17"/>
      <c r="BF2" s="17"/>
      <c r="BG2" s="17"/>
      <c r="BH2" s="17">
        <v>500</v>
      </c>
      <c r="BI2" s="17"/>
      <c r="BJ2" s="17"/>
      <c r="BK2" s="17"/>
      <c r="BL2" s="17"/>
      <c r="BM2" s="17"/>
      <c r="BN2" s="17"/>
      <c r="BO2" s="17"/>
      <c r="BP2" s="17"/>
      <c r="BQ2" s="17"/>
      <c r="BR2" s="17">
        <v>13000</v>
      </c>
      <c r="BS2" s="17"/>
      <c r="BT2" s="17"/>
      <c r="BU2" s="17"/>
      <c r="BV2" s="17">
        <v>20</v>
      </c>
      <c r="BW2" s="17"/>
      <c r="BX2" s="17">
        <v>2000</v>
      </c>
      <c r="BY2" s="17"/>
      <c r="BZ2" s="17"/>
      <c r="CA2" s="8" t="e">
        <f>VLOOKUP(A2,#REF!,2,0)</f>
        <v>#REF!</v>
      </c>
    </row>
    <row r="3" spans="1:79" s="3" customFormat="1" ht="30" customHeight="1" x14ac:dyDescent="0.2">
      <c r="A3" s="16">
        <v>47377470</v>
      </c>
      <c r="B3" s="15" t="s">
        <v>73</v>
      </c>
      <c r="C3" s="19" t="s">
        <v>206</v>
      </c>
      <c r="D3" s="14" t="s">
        <v>236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>
        <v>1500</v>
      </c>
      <c r="AS3" s="17"/>
      <c r="AT3" s="17"/>
      <c r="AU3" s="17">
        <v>1000</v>
      </c>
      <c r="AV3" s="17">
        <v>300</v>
      </c>
      <c r="AW3" s="17">
        <v>1500</v>
      </c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8" t="e">
        <f>VLOOKUP(A3,#REF!,2,0)</f>
        <v>#REF!</v>
      </c>
    </row>
    <row r="4" spans="1:79" s="3" customFormat="1" ht="30" customHeight="1" x14ac:dyDescent="0.2">
      <c r="A4" s="14">
        <v>4150015</v>
      </c>
      <c r="B4" s="15" t="s">
        <v>253</v>
      </c>
      <c r="C4" s="19" t="s">
        <v>254</v>
      </c>
      <c r="D4" s="14" t="s">
        <v>252</v>
      </c>
      <c r="E4" s="17"/>
      <c r="F4" s="17"/>
      <c r="G4" s="17"/>
      <c r="H4" s="17">
        <v>1600</v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>
        <v>5000</v>
      </c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>
        <v>1600</v>
      </c>
      <c r="BT4" s="17"/>
      <c r="BU4" s="17"/>
      <c r="BV4" s="17">
        <v>12</v>
      </c>
      <c r="BW4" s="17"/>
      <c r="BX4" s="17"/>
      <c r="BY4" s="17"/>
      <c r="BZ4" s="17"/>
      <c r="CA4" s="8" t="e">
        <f>VLOOKUP(A4,#REF!,2,0)</f>
        <v>#REF!</v>
      </c>
    </row>
    <row r="5" spans="1:79" s="3" customFormat="1" ht="30" customHeight="1" x14ac:dyDescent="0.2">
      <c r="A5" s="16">
        <v>60680369</v>
      </c>
      <c r="B5" s="15" t="s">
        <v>199</v>
      </c>
      <c r="C5" s="19" t="s">
        <v>200</v>
      </c>
      <c r="D5" s="14" t="s">
        <v>198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>
        <v>10</v>
      </c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8" t="e">
        <f>VLOOKUP(A5,#REF!,2,0)</f>
        <v>#REF!</v>
      </c>
    </row>
    <row r="6" spans="1:79" s="3" customFormat="1" ht="30" customHeight="1" x14ac:dyDescent="0.2">
      <c r="A6" s="16">
        <v>15530213</v>
      </c>
      <c r="B6" s="15" t="s">
        <v>108</v>
      </c>
      <c r="C6" s="19" t="s">
        <v>109</v>
      </c>
      <c r="D6" s="14" t="s">
        <v>107</v>
      </c>
      <c r="E6" s="17"/>
      <c r="F6" s="17"/>
      <c r="G6" s="17">
        <v>1200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>
        <v>1400</v>
      </c>
      <c r="X6" s="17"/>
      <c r="Y6" s="17"/>
      <c r="Z6" s="17"/>
      <c r="AA6" s="17"/>
      <c r="AB6" s="17"/>
      <c r="AC6" s="17"/>
      <c r="AD6" s="17"/>
      <c r="AE6" s="17">
        <v>500</v>
      </c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>
        <v>600</v>
      </c>
      <c r="AU6" s="17"/>
      <c r="AV6" s="17"/>
      <c r="AW6" s="17"/>
      <c r="AX6" s="17"/>
      <c r="AY6" s="17"/>
      <c r="AZ6" s="17"/>
      <c r="BA6" s="17"/>
      <c r="BB6" s="17"/>
      <c r="BC6" s="17">
        <v>70</v>
      </c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8" t="e">
        <f>VLOOKUP(A6,#REF!,2,0)</f>
        <v>#REF!</v>
      </c>
    </row>
    <row r="7" spans="1:79" s="3" customFormat="1" ht="30" customHeight="1" x14ac:dyDescent="0.2">
      <c r="A7" s="14">
        <v>839205</v>
      </c>
      <c r="B7" s="15" t="s">
        <v>120</v>
      </c>
      <c r="C7" s="19" t="s">
        <v>121</v>
      </c>
      <c r="D7" s="14" t="s">
        <v>119</v>
      </c>
      <c r="E7" s="17"/>
      <c r="F7" s="17"/>
      <c r="G7" s="17"/>
      <c r="H7" s="17"/>
      <c r="I7" s="17"/>
      <c r="J7" s="17"/>
      <c r="K7" s="17">
        <v>38000</v>
      </c>
      <c r="L7" s="17">
        <v>5000</v>
      </c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>
        <v>1000</v>
      </c>
      <c r="AM7" s="17">
        <v>2000</v>
      </c>
      <c r="AN7" s="17">
        <v>12000</v>
      </c>
      <c r="AO7" s="17">
        <v>18000</v>
      </c>
      <c r="AP7" s="17">
        <v>3000</v>
      </c>
      <c r="AQ7" s="17">
        <v>14000</v>
      </c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8" t="e">
        <f>VLOOKUP(A7,#REF!,2,0)</f>
        <v>#REF!</v>
      </c>
    </row>
    <row r="8" spans="1:79" s="3" customFormat="1" ht="30" customHeight="1" x14ac:dyDescent="0.2">
      <c r="A8" s="14">
        <v>219321</v>
      </c>
      <c r="B8" s="15" t="s">
        <v>126</v>
      </c>
      <c r="C8" s="19" t="s">
        <v>127</v>
      </c>
      <c r="D8" s="14" t="s">
        <v>125</v>
      </c>
      <c r="E8" s="17"/>
      <c r="F8" s="17"/>
      <c r="G8" s="17"/>
      <c r="H8" s="17"/>
      <c r="I8" s="17">
        <v>3000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>
        <v>1000</v>
      </c>
      <c r="Z8" s="17">
        <v>1000</v>
      </c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>
        <v>2500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>
        <v>1600</v>
      </c>
      <c r="BJ8" s="17">
        <v>200</v>
      </c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8" t="e">
        <f>VLOOKUP(A8,#REF!,2,0)</f>
        <v>#REF!</v>
      </c>
    </row>
    <row r="9" spans="1:79" s="3" customFormat="1" ht="30" customHeight="1" x14ac:dyDescent="0.2">
      <c r="A9" s="14">
        <v>226467</v>
      </c>
      <c r="B9" s="15" t="s">
        <v>138</v>
      </c>
      <c r="C9" s="19" t="s">
        <v>139</v>
      </c>
      <c r="D9" s="14" t="s">
        <v>137</v>
      </c>
      <c r="E9" s="17"/>
      <c r="F9" s="17">
        <v>2000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>
        <v>1000</v>
      </c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>
        <v>300</v>
      </c>
      <c r="AM9" s="17"/>
      <c r="AN9" s="17">
        <v>30</v>
      </c>
      <c r="AO9" s="17"/>
      <c r="AP9" s="17">
        <v>30</v>
      </c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>
        <v>1500</v>
      </c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8" t="e">
        <f>VLOOKUP(A9,#REF!,2,0)</f>
        <v>#REF!</v>
      </c>
    </row>
    <row r="10" spans="1:79" s="3" customFormat="1" ht="30" customHeight="1" x14ac:dyDescent="0.2">
      <c r="A10" s="14">
        <v>380458</v>
      </c>
      <c r="B10" s="15" t="s">
        <v>247</v>
      </c>
      <c r="C10" s="19" t="s">
        <v>248</v>
      </c>
      <c r="D10" s="14" t="s">
        <v>246</v>
      </c>
      <c r="E10" s="17"/>
      <c r="F10" s="17"/>
      <c r="G10" s="17"/>
      <c r="H10" s="17"/>
      <c r="I10" s="17">
        <v>6000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>
        <v>450</v>
      </c>
      <c r="AB10" s="17"/>
      <c r="AC10" s="17">
        <v>450</v>
      </c>
      <c r="AD10" s="17"/>
      <c r="AE10" s="17"/>
      <c r="AF10" s="17"/>
      <c r="AG10" s="17"/>
      <c r="AH10" s="17"/>
      <c r="AI10" s="17"/>
      <c r="AJ10" s="17"/>
      <c r="AK10" s="17"/>
      <c r="AL10" s="17">
        <v>300</v>
      </c>
      <c r="AM10" s="17"/>
      <c r="AN10" s="17">
        <v>300</v>
      </c>
      <c r="AO10" s="17"/>
      <c r="AP10" s="17"/>
      <c r="AQ10" s="17"/>
      <c r="AR10" s="17">
        <v>300</v>
      </c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>
        <v>500</v>
      </c>
      <c r="BN10" s="17"/>
      <c r="BO10" s="17"/>
      <c r="BP10" s="17"/>
      <c r="BQ10" s="17"/>
      <c r="BR10" s="17">
        <v>1500</v>
      </c>
      <c r="BS10" s="17"/>
      <c r="BT10" s="17">
        <v>200</v>
      </c>
      <c r="BU10" s="17">
        <v>20</v>
      </c>
      <c r="BV10" s="17"/>
      <c r="BW10" s="17"/>
      <c r="BX10" s="17"/>
      <c r="BY10" s="17"/>
      <c r="BZ10" s="17"/>
      <c r="CA10" s="8" t="e">
        <f>VLOOKUP(A10,#REF!,2,0)</f>
        <v>#REF!</v>
      </c>
    </row>
    <row r="11" spans="1:79" s="3" customFormat="1" ht="30" customHeight="1" x14ac:dyDescent="0.2">
      <c r="A11" s="14">
        <v>225827</v>
      </c>
      <c r="B11" s="15" t="s">
        <v>214</v>
      </c>
      <c r="C11" s="19" t="s">
        <v>215</v>
      </c>
      <c r="D11" s="14" t="s">
        <v>213</v>
      </c>
      <c r="E11" s="17">
        <v>5000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>
        <v>30000</v>
      </c>
      <c r="Y11" s="17"/>
      <c r="Z11" s="17"/>
      <c r="AA11" s="17"/>
      <c r="AB11" s="17"/>
      <c r="AC11" s="17"/>
      <c r="AD11" s="17"/>
      <c r="AE11" s="17"/>
      <c r="AF11" s="17"/>
      <c r="AG11" s="17">
        <v>9000</v>
      </c>
      <c r="AH11" s="17"/>
      <c r="AI11" s="17"/>
      <c r="AJ11" s="17"/>
      <c r="AK11" s="17"/>
      <c r="AL11" s="17"/>
      <c r="AM11" s="17"/>
      <c r="AN11" s="17"/>
      <c r="AO11" s="17"/>
      <c r="AP11" s="17">
        <v>10800</v>
      </c>
      <c r="AQ11" s="17">
        <v>9000</v>
      </c>
      <c r="AR11" s="17">
        <v>12600</v>
      </c>
      <c r="AS11" s="17"/>
      <c r="AT11" s="17"/>
      <c r="AU11" s="17">
        <v>1800</v>
      </c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8" t="e">
        <f>VLOOKUP(A11,#REF!,2,0)</f>
        <v>#REF!</v>
      </c>
    </row>
    <row r="12" spans="1:79" s="3" customFormat="1" ht="30" customHeight="1" x14ac:dyDescent="0.2">
      <c r="A12" s="16">
        <v>46937099</v>
      </c>
      <c r="B12" s="15" t="s">
        <v>157</v>
      </c>
      <c r="C12" s="19" t="s">
        <v>158</v>
      </c>
      <c r="D12" s="14" t="s">
        <v>156</v>
      </c>
      <c r="E12" s="17"/>
      <c r="F12" s="17"/>
      <c r="G12" s="17"/>
      <c r="H12" s="17">
        <v>400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>
        <v>80</v>
      </c>
      <c r="Y12" s="17"/>
      <c r="Z12" s="17">
        <v>560</v>
      </c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>
        <v>180</v>
      </c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>
        <v>300</v>
      </c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8" t="e">
        <f>VLOOKUP(A12,#REF!,2,0)</f>
        <v>#REF!</v>
      </c>
    </row>
    <row r="13" spans="1:79" s="3" customFormat="1" ht="30" customHeight="1" x14ac:dyDescent="0.2">
      <c r="A13" s="16">
        <v>70841675</v>
      </c>
      <c r="B13" s="15" t="s">
        <v>211</v>
      </c>
      <c r="C13" s="19" t="s">
        <v>212</v>
      </c>
      <c r="D13" s="14" t="s">
        <v>210</v>
      </c>
      <c r="E13" s="17"/>
      <c r="F13" s="17"/>
      <c r="G13" s="17"/>
      <c r="H13" s="17"/>
      <c r="I13" s="17"/>
      <c r="J13" s="17"/>
      <c r="K13" s="17"/>
      <c r="L13" s="17">
        <v>500</v>
      </c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>
        <v>200</v>
      </c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8" t="e">
        <f>VLOOKUP(A13,#REF!,2,0)</f>
        <v>#REF!</v>
      </c>
    </row>
    <row r="14" spans="1:79" s="3" customFormat="1" ht="30" customHeight="1" x14ac:dyDescent="0.2">
      <c r="A14" s="14">
        <v>567191</v>
      </c>
      <c r="B14" s="15" t="s">
        <v>129</v>
      </c>
      <c r="C14" s="19" t="s">
        <v>130</v>
      </c>
      <c r="D14" s="14" t="s">
        <v>128</v>
      </c>
      <c r="E14" s="17"/>
      <c r="F14" s="17"/>
      <c r="G14" s="17"/>
      <c r="H14" s="17"/>
      <c r="I14" s="17"/>
      <c r="J14" s="17"/>
      <c r="K14" s="17">
        <v>400</v>
      </c>
      <c r="L14" s="17"/>
      <c r="M14" s="17"/>
      <c r="N14" s="17"/>
      <c r="O14" s="17"/>
      <c r="P14" s="17"/>
      <c r="Q14" s="17"/>
      <c r="R14" s="17"/>
      <c r="S14" s="17"/>
      <c r="T14" s="17">
        <v>200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8" t="e">
        <f>VLOOKUP(A14,#REF!,2,0)</f>
        <v>#REF!</v>
      </c>
    </row>
    <row r="15" spans="1:79" s="3" customFormat="1" ht="30" customHeight="1" x14ac:dyDescent="0.2">
      <c r="A15" s="14">
        <v>226564</v>
      </c>
      <c r="B15" s="15" t="s">
        <v>152</v>
      </c>
      <c r="C15" s="19" t="s">
        <v>153</v>
      </c>
      <c r="D15" s="14" t="s">
        <v>151</v>
      </c>
      <c r="E15" s="17"/>
      <c r="F15" s="17"/>
      <c r="G15" s="17"/>
      <c r="H15" s="17">
        <v>1000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>
        <v>6000</v>
      </c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>
        <v>8000</v>
      </c>
      <c r="AM15" s="17"/>
      <c r="AN15" s="17">
        <v>4000</v>
      </c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8" t="e">
        <f>VLOOKUP(A15,#REF!,2,0)</f>
        <v>#REF!</v>
      </c>
    </row>
    <row r="16" spans="1:79" s="3" customFormat="1" ht="30" customHeight="1" x14ac:dyDescent="0.2">
      <c r="A16" s="14">
        <v>212920</v>
      </c>
      <c r="B16" s="15" t="s">
        <v>89</v>
      </c>
      <c r="C16" s="19" t="s">
        <v>90</v>
      </c>
      <c r="D16" s="14" t="s">
        <v>88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>
        <v>2000</v>
      </c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8" t="e">
        <f>VLOOKUP(A16,#REF!,2,0)</f>
        <v>#REF!</v>
      </c>
    </row>
    <row r="17" spans="1:79" s="3" customFormat="1" ht="30" customHeight="1" x14ac:dyDescent="0.2">
      <c r="A17" s="16">
        <v>70284849</v>
      </c>
      <c r="B17" s="15" t="s">
        <v>74</v>
      </c>
      <c r="C17" s="19" t="s">
        <v>155</v>
      </c>
      <c r="D17" s="14" t="s">
        <v>154</v>
      </c>
      <c r="E17" s="17"/>
      <c r="F17" s="17"/>
      <c r="G17" s="17"/>
      <c r="H17" s="17"/>
      <c r="I17" s="17">
        <v>1500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>
        <v>2500</v>
      </c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>
        <v>300</v>
      </c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8" t="e">
        <f>VLOOKUP(A17,#REF!,2,0)</f>
        <v>#REF!</v>
      </c>
    </row>
    <row r="18" spans="1:79" s="3" customFormat="1" ht="30" customHeight="1" x14ac:dyDescent="0.2">
      <c r="A18" s="16">
        <v>45671729</v>
      </c>
      <c r="B18" s="15" t="s">
        <v>105</v>
      </c>
      <c r="C18" s="19" t="s">
        <v>106</v>
      </c>
      <c r="D18" s="14" t="s">
        <v>104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>
        <v>3000</v>
      </c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8" t="e">
        <f>VLOOKUP(A18,#REF!,2,0)</f>
        <v>#REF!</v>
      </c>
    </row>
    <row r="19" spans="1:79" s="3" customFormat="1" ht="30" customHeight="1" x14ac:dyDescent="0.2">
      <c r="A19" s="16">
        <v>16355474</v>
      </c>
      <c r="B19" s="15" t="s">
        <v>202</v>
      </c>
      <c r="C19" s="19" t="s">
        <v>203</v>
      </c>
      <c r="D19" s="14" t="s">
        <v>201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>
        <v>1000</v>
      </c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>
        <v>500</v>
      </c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8" t="e">
        <f>VLOOKUP(A19,#REF!,2,0)</f>
        <v>#REF!</v>
      </c>
    </row>
    <row r="20" spans="1:79" s="3" customFormat="1" ht="30" customHeight="1" x14ac:dyDescent="0.2">
      <c r="A20" s="16">
        <v>49459899</v>
      </c>
      <c r="B20" s="15" t="s">
        <v>75</v>
      </c>
      <c r="C20" s="19" t="s">
        <v>220</v>
      </c>
      <c r="D20" s="14" t="s">
        <v>219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>
        <v>1800</v>
      </c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>
        <v>200</v>
      </c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8" t="e">
        <f>VLOOKUP(A20,#REF!,2,0)</f>
        <v>#REF!</v>
      </c>
    </row>
    <row r="21" spans="1:79" s="3" customFormat="1" ht="30" customHeight="1" x14ac:dyDescent="0.2">
      <c r="A21" s="16">
        <v>60680342</v>
      </c>
      <c r="B21" s="15" t="s">
        <v>178</v>
      </c>
      <c r="C21" s="19" t="s">
        <v>179</v>
      </c>
      <c r="D21" s="14" t="s">
        <v>177</v>
      </c>
      <c r="E21" s="17"/>
      <c r="F21" s="17"/>
      <c r="G21" s="17"/>
      <c r="H21" s="17">
        <v>2000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>
        <v>2000</v>
      </c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>
        <v>1000</v>
      </c>
      <c r="AM21" s="17"/>
      <c r="AN21" s="17">
        <v>1500</v>
      </c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>
        <v>600</v>
      </c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8" t="e">
        <f>VLOOKUP(A21,#REF!,2,0)</f>
        <v>#REF!</v>
      </c>
    </row>
    <row r="22" spans="1:79" s="3" customFormat="1" ht="30" customHeight="1" x14ac:dyDescent="0.2">
      <c r="A22" s="16">
        <v>14120097</v>
      </c>
      <c r="B22" s="15" t="s">
        <v>256</v>
      </c>
      <c r="C22" s="19" t="s">
        <v>257</v>
      </c>
      <c r="D22" s="14" t="s">
        <v>255</v>
      </c>
      <c r="E22" s="17">
        <v>8000</v>
      </c>
      <c r="F22" s="17"/>
      <c r="G22" s="17"/>
      <c r="H22" s="17"/>
      <c r="I22" s="17">
        <v>2500</v>
      </c>
      <c r="J22" s="17"/>
      <c r="K22" s="17"/>
      <c r="L22" s="17">
        <v>400</v>
      </c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>
        <v>5000</v>
      </c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>
        <v>150</v>
      </c>
      <c r="AW22" s="17"/>
      <c r="AX22" s="17"/>
      <c r="AY22" s="17">
        <v>3000</v>
      </c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>
        <v>5000</v>
      </c>
      <c r="BR22" s="17"/>
      <c r="BS22" s="17"/>
      <c r="BT22" s="17"/>
      <c r="BU22" s="17"/>
      <c r="BV22" s="17">
        <v>8</v>
      </c>
      <c r="BW22" s="17"/>
      <c r="BX22" s="17"/>
      <c r="BY22" s="17"/>
      <c r="BZ22" s="17"/>
      <c r="CA22" s="8" t="e">
        <f>VLOOKUP(A22,#REF!,2,0)</f>
        <v>#REF!</v>
      </c>
    </row>
    <row r="23" spans="1:79" s="3" customFormat="1" ht="30" customHeight="1" x14ac:dyDescent="0.2">
      <c r="A23" s="16">
        <v>66596882</v>
      </c>
      <c r="B23" s="15" t="s">
        <v>175</v>
      </c>
      <c r="C23" s="19" t="s">
        <v>176</v>
      </c>
      <c r="D23" s="14" t="s">
        <v>174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>
        <v>4000</v>
      </c>
      <c r="AE23" s="17"/>
      <c r="AF23" s="17"/>
      <c r="AG23" s="17"/>
      <c r="AH23" s="17"/>
      <c r="AI23" s="17"/>
      <c r="AJ23" s="17"/>
      <c r="AK23" s="17"/>
      <c r="AL23" s="17"/>
      <c r="AM23" s="17"/>
      <c r="AN23" s="17">
        <v>1000</v>
      </c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>
        <v>500</v>
      </c>
      <c r="BN23" s="17"/>
      <c r="BO23" s="17"/>
      <c r="BP23" s="17"/>
      <c r="BQ23" s="17"/>
      <c r="BR23" s="17">
        <v>200</v>
      </c>
      <c r="BS23" s="17"/>
      <c r="BT23" s="17"/>
      <c r="BU23" s="17"/>
      <c r="BV23" s="17"/>
      <c r="BW23" s="17"/>
      <c r="BX23" s="17"/>
      <c r="BY23" s="17"/>
      <c r="BZ23" s="17"/>
      <c r="CA23" s="8" t="e">
        <f>VLOOKUP(A23,#REF!,2,0)</f>
        <v>#REF!</v>
      </c>
    </row>
    <row r="24" spans="1:79" s="3" customFormat="1" ht="30" customHeight="1" x14ac:dyDescent="0.2">
      <c r="A24" s="16">
        <v>70285772</v>
      </c>
      <c r="B24" s="15" t="s">
        <v>114</v>
      </c>
      <c r="C24" s="19" t="s">
        <v>115</v>
      </c>
      <c r="D24" s="14" t="s">
        <v>113</v>
      </c>
      <c r="E24" s="17"/>
      <c r="F24" s="17"/>
      <c r="G24" s="17"/>
      <c r="H24" s="17"/>
      <c r="I24" s="17"/>
      <c r="J24" s="17"/>
      <c r="K24" s="17">
        <v>1000</v>
      </c>
      <c r="L24" s="17">
        <v>1000</v>
      </c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>
        <v>100</v>
      </c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>
        <v>1000</v>
      </c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8" t="e">
        <f>VLOOKUP(A24,#REF!,2,0)</f>
        <v>#REF!</v>
      </c>
    </row>
    <row r="25" spans="1:79" s="3" customFormat="1" ht="30" customHeight="1" x14ac:dyDescent="0.2">
      <c r="A25" s="16">
        <v>64327809</v>
      </c>
      <c r="B25" s="15" t="s">
        <v>141</v>
      </c>
      <c r="C25" s="19" t="s">
        <v>142</v>
      </c>
      <c r="D25" s="14" t="s">
        <v>140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>
        <v>50</v>
      </c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8" t="e">
        <f>VLOOKUP(A25,#REF!,2,0)</f>
        <v>#REF!</v>
      </c>
    </row>
    <row r="26" spans="1:79" s="3" customFormat="1" ht="30" customHeight="1" x14ac:dyDescent="0.2">
      <c r="A26" s="14">
        <v>212733</v>
      </c>
      <c r="B26" s="15" t="s">
        <v>217</v>
      </c>
      <c r="C26" s="19" t="s">
        <v>218</v>
      </c>
      <c r="D26" s="14" t="s">
        <v>216</v>
      </c>
      <c r="E26" s="17"/>
      <c r="F26" s="17"/>
      <c r="G26" s="17"/>
      <c r="H26" s="17"/>
      <c r="I26" s="17">
        <v>10000</v>
      </c>
      <c r="J26" s="17">
        <v>10000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>
        <v>6500</v>
      </c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>
        <v>3800</v>
      </c>
      <c r="BN26" s="17"/>
      <c r="BO26" s="17">
        <v>3800</v>
      </c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8" t="e">
        <f>VLOOKUP(A26,#REF!,2,0)</f>
        <v>#REF!</v>
      </c>
    </row>
    <row r="27" spans="1:79" s="3" customFormat="1" ht="30" customHeight="1" x14ac:dyDescent="0.2">
      <c r="A27" s="14">
        <v>226556</v>
      </c>
      <c r="B27" s="15" t="s">
        <v>187</v>
      </c>
      <c r="C27" s="19" t="s">
        <v>188</v>
      </c>
      <c r="D27" s="14" t="s">
        <v>186</v>
      </c>
      <c r="E27" s="17"/>
      <c r="F27" s="17"/>
      <c r="G27" s="17"/>
      <c r="H27" s="17"/>
      <c r="I27" s="17">
        <v>5500</v>
      </c>
      <c r="J27" s="17"/>
      <c r="K27" s="17"/>
      <c r="L27" s="17"/>
      <c r="M27" s="17">
        <v>3800</v>
      </c>
      <c r="N27" s="17">
        <v>1500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>
        <v>8200</v>
      </c>
      <c r="AM27" s="17"/>
      <c r="AN27" s="17"/>
      <c r="AO27" s="17">
        <v>3400</v>
      </c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>
        <v>9000</v>
      </c>
      <c r="BN27" s="17"/>
      <c r="BO27" s="17">
        <v>4000</v>
      </c>
      <c r="BP27" s="17"/>
      <c r="BQ27" s="17"/>
      <c r="BR27" s="17"/>
      <c r="BS27" s="17"/>
      <c r="BT27" s="17"/>
      <c r="BU27" s="17"/>
      <c r="BV27" s="17">
        <v>8</v>
      </c>
      <c r="BW27" s="17"/>
      <c r="BX27" s="17"/>
      <c r="BY27" s="17"/>
      <c r="BZ27" s="17"/>
      <c r="CA27" s="8" t="e">
        <f>VLOOKUP(A27,#REF!,2,0)</f>
        <v>#REF!</v>
      </c>
    </row>
    <row r="28" spans="1:79" s="3" customFormat="1" ht="30" customHeight="1" x14ac:dyDescent="0.2">
      <c r="A28" s="14">
        <v>566381</v>
      </c>
      <c r="B28" s="15" t="s">
        <v>98</v>
      </c>
      <c r="C28" s="19" t="s">
        <v>99</v>
      </c>
      <c r="D28" s="14" t="s">
        <v>97</v>
      </c>
      <c r="E28" s="17"/>
      <c r="F28" s="17">
        <v>2000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>
        <v>1000</v>
      </c>
      <c r="Z28" s="17"/>
      <c r="AA28" s="17">
        <v>1600</v>
      </c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>
        <v>2000</v>
      </c>
      <c r="AO28" s="17"/>
      <c r="AP28" s="17">
        <v>800</v>
      </c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8" t="e">
        <f>VLOOKUP(A28,#REF!,2,0)</f>
        <v>#REF!</v>
      </c>
    </row>
    <row r="29" spans="1:79" s="3" customFormat="1" ht="30" customHeight="1" x14ac:dyDescent="0.2">
      <c r="A29" s="16">
        <v>46937102</v>
      </c>
      <c r="B29" s="15" t="s">
        <v>205</v>
      </c>
      <c r="C29" s="19" t="s">
        <v>206</v>
      </c>
      <c r="D29" s="14" t="s">
        <v>204</v>
      </c>
      <c r="E29" s="17">
        <v>1400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>
        <v>900</v>
      </c>
      <c r="AM29" s="17">
        <v>150</v>
      </c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>
        <v>600</v>
      </c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8" t="e">
        <f>VLOOKUP(A29,#REF!,2,0)</f>
        <v>#REF!</v>
      </c>
    </row>
    <row r="30" spans="1:79" s="3" customFormat="1" ht="30" customHeight="1" x14ac:dyDescent="0.2">
      <c r="A30" s="14">
        <v>92584</v>
      </c>
      <c r="B30" s="15" t="s">
        <v>92</v>
      </c>
      <c r="C30" s="19" t="s">
        <v>93</v>
      </c>
      <c r="D30" s="14" t="s">
        <v>91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>
        <v>6000</v>
      </c>
      <c r="Y30" s="17"/>
      <c r="Z30" s="17">
        <v>5000</v>
      </c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>
        <v>3000</v>
      </c>
      <c r="AS30" s="17">
        <v>4500</v>
      </c>
      <c r="AT30" s="17"/>
      <c r="AU30" s="17"/>
      <c r="AV30" s="17">
        <v>2500</v>
      </c>
      <c r="AW30" s="17">
        <v>150</v>
      </c>
      <c r="AX30" s="17"/>
      <c r="AY30" s="17"/>
      <c r="AZ30" s="17"/>
      <c r="BA30" s="17"/>
      <c r="BB30" s="17"/>
      <c r="BC30" s="17">
        <v>90</v>
      </c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>
        <v>300</v>
      </c>
      <c r="BU30" s="17"/>
      <c r="BV30" s="17"/>
      <c r="BW30" s="17"/>
      <c r="BX30" s="17"/>
      <c r="BY30" s="17"/>
      <c r="BZ30" s="17"/>
      <c r="CA30" s="8" t="e">
        <f>VLOOKUP(A30,#REF!,2,0)</f>
        <v>#REF!</v>
      </c>
    </row>
    <row r="31" spans="1:79" s="3" customFormat="1" ht="30" customHeight="1" x14ac:dyDescent="0.2">
      <c r="A31" s="16">
        <v>60555211</v>
      </c>
      <c r="B31" s="15" t="s">
        <v>196</v>
      </c>
      <c r="C31" s="19" t="s">
        <v>197</v>
      </c>
      <c r="D31" s="14" t="s">
        <v>195</v>
      </c>
      <c r="E31" s="17"/>
      <c r="F31" s="17"/>
      <c r="G31" s="17"/>
      <c r="H31" s="17"/>
      <c r="I31" s="17">
        <v>4000</v>
      </c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>
        <v>1200</v>
      </c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>
        <v>600</v>
      </c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>
        <v>3000</v>
      </c>
      <c r="BR31" s="17"/>
      <c r="BS31" s="17"/>
      <c r="BT31" s="17"/>
      <c r="BU31" s="17"/>
      <c r="BV31" s="17"/>
      <c r="BW31" s="17"/>
      <c r="BX31" s="17"/>
      <c r="BY31" s="17"/>
      <c r="BZ31" s="17"/>
      <c r="CA31" s="8" t="e">
        <f>VLOOKUP(A31,#REF!,2,0)</f>
        <v>#REF!</v>
      </c>
    </row>
    <row r="32" spans="1:79" s="3" customFormat="1" ht="30" customHeight="1" x14ac:dyDescent="0.2">
      <c r="A32" s="16">
        <v>71197770</v>
      </c>
      <c r="B32" s="15" t="s">
        <v>76</v>
      </c>
      <c r="C32" s="19" t="s">
        <v>147</v>
      </c>
      <c r="D32" s="14" t="s">
        <v>146</v>
      </c>
      <c r="E32" s="17"/>
      <c r="F32" s="17"/>
      <c r="G32" s="17"/>
      <c r="H32" s="17"/>
      <c r="I32" s="17">
        <v>50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>
        <v>60</v>
      </c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8" t="e">
        <f>VLOOKUP(A32,#REF!,2,0)</f>
        <v>#REF!</v>
      </c>
    </row>
    <row r="33" spans="1:79" s="3" customFormat="1" ht="30" customHeight="1" x14ac:dyDescent="0.2">
      <c r="A33" s="16">
        <v>62075985</v>
      </c>
      <c r="B33" s="15" t="s">
        <v>149</v>
      </c>
      <c r="C33" s="19" t="s">
        <v>150</v>
      </c>
      <c r="D33" s="14" t="s">
        <v>148</v>
      </c>
      <c r="E33" s="17"/>
      <c r="F33" s="17">
        <v>500</v>
      </c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>
        <v>800</v>
      </c>
      <c r="AB33" s="17"/>
      <c r="AC33" s="17"/>
      <c r="AD33" s="17"/>
      <c r="AE33" s="17"/>
      <c r="AF33" s="17">
        <v>100</v>
      </c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>
        <v>500</v>
      </c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8" t="e">
        <f>VLOOKUP(A33,#REF!,2,0)</f>
        <v>#REF!</v>
      </c>
    </row>
    <row r="34" spans="1:79" s="3" customFormat="1" ht="30" customHeight="1" x14ac:dyDescent="0.2">
      <c r="A34" s="16">
        <v>46937081</v>
      </c>
      <c r="B34" s="15" t="s">
        <v>225</v>
      </c>
      <c r="C34" s="19" t="s">
        <v>226</v>
      </c>
      <c r="D34" s="14" t="s">
        <v>224</v>
      </c>
      <c r="E34" s="17"/>
      <c r="F34" s="17"/>
      <c r="G34" s="17"/>
      <c r="H34" s="17"/>
      <c r="I34" s="17">
        <v>2000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>
        <v>2000</v>
      </c>
      <c r="AD34" s="17"/>
      <c r="AE34" s="17"/>
      <c r="AF34" s="17">
        <v>1000</v>
      </c>
      <c r="AG34" s="17"/>
      <c r="AH34" s="17">
        <v>2500</v>
      </c>
      <c r="AI34" s="17"/>
      <c r="AJ34" s="17">
        <v>250</v>
      </c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8" t="e">
        <f>VLOOKUP(A34,#REF!,2,0)</f>
        <v>#REF!</v>
      </c>
    </row>
    <row r="35" spans="1:79" s="3" customFormat="1" ht="30" customHeight="1" x14ac:dyDescent="0.2">
      <c r="A35" s="16">
        <v>380407</v>
      </c>
      <c r="B35" s="15" t="s">
        <v>244</v>
      </c>
      <c r="C35" s="19" t="s">
        <v>245</v>
      </c>
      <c r="D35" s="14" t="s">
        <v>243</v>
      </c>
      <c r="E35" s="17"/>
      <c r="F35" s="17"/>
      <c r="G35" s="17"/>
      <c r="H35" s="17">
        <v>1000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 t="s">
        <v>77</v>
      </c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>
        <v>250</v>
      </c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>
        <v>100</v>
      </c>
      <c r="BD35" s="17"/>
      <c r="BE35" s="17"/>
      <c r="BF35" s="17"/>
      <c r="BG35" s="17"/>
      <c r="BH35" s="17"/>
      <c r="BI35" s="17"/>
      <c r="BJ35" s="17"/>
      <c r="BK35" s="17"/>
      <c r="BL35" s="17"/>
      <c r="BM35" s="17">
        <v>4000</v>
      </c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8" t="e">
        <f>VLOOKUP(A35,#REF!,2,0)</f>
        <v>#REF!</v>
      </c>
    </row>
    <row r="36" spans="1:79" s="3" customFormat="1" ht="30" customHeight="1" x14ac:dyDescent="0.2">
      <c r="A36" s="16">
        <v>49939416</v>
      </c>
      <c r="B36" s="15" t="s">
        <v>241</v>
      </c>
      <c r="C36" s="19" t="s">
        <v>242</v>
      </c>
      <c r="D36" s="14" t="s">
        <v>240</v>
      </c>
      <c r="E36" s="17"/>
      <c r="F36" s="17"/>
      <c r="G36" s="17"/>
      <c r="H36" s="17">
        <v>500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>
        <v>500</v>
      </c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>
        <v>300</v>
      </c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>
        <v>1000</v>
      </c>
      <c r="BS36" s="17"/>
      <c r="BT36" s="17"/>
      <c r="BU36" s="17"/>
      <c r="BV36" s="17">
        <v>4</v>
      </c>
      <c r="BW36" s="17"/>
      <c r="BX36" s="17"/>
      <c r="BY36" s="17"/>
      <c r="BZ36" s="17"/>
      <c r="CA36" s="8" t="e">
        <f>VLOOKUP(A36,#REF!,2,0)</f>
        <v>#REF!</v>
      </c>
    </row>
    <row r="37" spans="1:79" s="3" customFormat="1" ht="30" customHeight="1" x14ac:dyDescent="0.2">
      <c r="A37" s="16">
        <v>45671877</v>
      </c>
      <c r="B37" s="15" t="s">
        <v>181</v>
      </c>
      <c r="C37" s="19" t="s">
        <v>182</v>
      </c>
      <c r="D37" s="14" t="s">
        <v>180</v>
      </c>
      <c r="E37" s="17"/>
      <c r="F37" s="17">
        <v>6000</v>
      </c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>
        <v>4000</v>
      </c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>
        <v>1500</v>
      </c>
      <c r="BG37" s="17">
        <v>5000</v>
      </c>
      <c r="BH37" s="17"/>
      <c r="BI37" s="17"/>
      <c r="BJ37" s="17"/>
      <c r="BK37" s="17"/>
      <c r="BL37" s="17"/>
      <c r="BM37" s="17"/>
      <c r="BN37" s="17"/>
      <c r="BO37" s="17">
        <v>1600</v>
      </c>
      <c r="BP37" s="17"/>
      <c r="BQ37" s="17"/>
      <c r="BR37" s="17"/>
      <c r="BS37" s="17"/>
      <c r="BT37" s="17"/>
      <c r="BU37" s="17"/>
      <c r="BV37" s="17">
        <v>10</v>
      </c>
      <c r="BW37" s="17"/>
      <c r="BX37" s="17"/>
      <c r="BY37" s="17"/>
      <c r="BZ37" s="17"/>
      <c r="CA37" s="8" t="e">
        <f>VLOOKUP(A37,#REF!,2,0)</f>
        <v>#REF!</v>
      </c>
    </row>
    <row r="38" spans="1:79" s="3" customFormat="1" ht="30" customHeight="1" x14ac:dyDescent="0.2">
      <c r="A38" s="14">
        <v>838420</v>
      </c>
      <c r="B38" s="15" t="s">
        <v>166</v>
      </c>
      <c r="C38" s="19" t="s">
        <v>167</v>
      </c>
      <c r="D38" s="14" t="s">
        <v>165</v>
      </c>
      <c r="E38" s="17"/>
      <c r="F38" s="17"/>
      <c r="G38" s="17"/>
      <c r="H38" s="17">
        <v>5000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>
        <v>8000</v>
      </c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>
        <v>2000</v>
      </c>
      <c r="AO38" s="17"/>
      <c r="AP38" s="17"/>
      <c r="AQ38" s="17"/>
      <c r="AR38" s="17"/>
      <c r="AS38" s="17"/>
      <c r="AT38" s="17"/>
      <c r="AU38" s="17"/>
      <c r="AV38" s="17"/>
      <c r="AW38" s="17"/>
      <c r="AX38" s="17">
        <v>1000</v>
      </c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>
        <v>10000</v>
      </c>
      <c r="BP38" s="17"/>
      <c r="BQ38" s="17"/>
      <c r="BR38" s="17"/>
      <c r="BS38" s="17">
        <v>2000</v>
      </c>
      <c r="BT38" s="17"/>
      <c r="BU38" s="17"/>
      <c r="BV38" s="17"/>
      <c r="BW38" s="17"/>
      <c r="BX38" s="17">
        <v>1000</v>
      </c>
      <c r="BY38" s="17"/>
      <c r="BZ38" s="17"/>
      <c r="CA38" s="8" t="e">
        <f>VLOOKUP(A38,#REF!,2,0)</f>
        <v>#REF!</v>
      </c>
    </row>
    <row r="39" spans="1:79" s="3" customFormat="1" ht="30" customHeight="1" x14ac:dyDescent="0.2">
      <c r="A39" s="16">
        <v>70997241</v>
      </c>
      <c r="B39" s="15" t="s">
        <v>184</v>
      </c>
      <c r="C39" s="19" t="s">
        <v>185</v>
      </c>
      <c r="D39" s="14" t="s">
        <v>183</v>
      </c>
      <c r="E39" s="17"/>
      <c r="F39" s="17"/>
      <c r="G39" s="17"/>
      <c r="H39" s="17">
        <v>8000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>
        <v>300</v>
      </c>
      <c r="AU39" s="17"/>
      <c r="AV39" s="17"/>
      <c r="AW39" s="17"/>
      <c r="AX39" s="17">
        <v>4000</v>
      </c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>
        <v>30</v>
      </c>
      <c r="BN39" s="17"/>
      <c r="BO39" s="17"/>
      <c r="BP39" s="17"/>
      <c r="BQ39" s="17"/>
      <c r="BR39" s="17">
        <v>30</v>
      </c>
      <c r="BS39" s="17"/>
      <c r="BT39" s="17"/>
      <c r="BU39" s="17"/>
      <c r="BV39" s="17">
        <v>6</v>
      </c>
      <c r="BW39" s="17"/>
      <c r="BX39" s="17">
        <v>6</v>
      </c>
      <c r="BY39" s="17"/>
      <c r="BZ39" s="17"/>
      <c r="CA39" s="8" t="e">
        <f>VLOOKUP(A39,#REF!,2,0)</f>
        <v>#REF!</v>
      </c>
    </row>
    <row r="40" spans="1:79" s="3" customFormat="1" ht="30" customHeight="1" x14ac:dyDescent="0.2">
      <c r="A40" s="16">
        <v>346292</v>
      </c>
      <c r="B40" s="15" t="s">
        <v>111</v>
      </c>
      <c r="C40" s="19" t="s">
        <v>112</v>
      </c>
      <c r="D40" s="14" t="s">
        <v>110</v>
      </c>
      <c r="E40" s="17"/>
      <c r="F40" s="17"/>
      <c r="G40" s="17">
        <v>1500</v>
      </c>
      <c r="H40" s="17">
        <v>15000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>
        <v>16000</v>
      </c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>
        <v>2500</v>
      </c>
      <c r="AS40" s="17"/>
      <c r="AT40" s="17">
        <v>1000</v>
      </c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>
        <v>2500</v>
      </c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>
        <v>12</v>
      </c>
      <c r="BX40" s="17"/>
      <c r="BY40" s="17"/>
      <c r="BZ40" s="17"/>
      <c r="CA40" s="8" t="e">
        <f>VLOOKUP(A40,#REF!,2,0)</f>
        <v>#REF!</v>
      </c>
    </row>
    <row r="41" spans="1:79" s="3" customFormat="1" ht="30" customHeight="1" x14ac:dyDescent="0.2">
      <c r="A41" s="14">
        <v>89613</v>
      </c>
      <c r="B41" s="15" t="s">
        <v>190</v>
      </c>
      <c r="C41" s="19" t="s">
        <v>191</v>
      </c>
      <c r="D41" s="14" t="s">
        <v>189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>
        <v>50</v>
      </c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>
        <v>50</v>
      </c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8" t="e">
        <f>VLOOKUP(A41,#REF!,2,0)</f>
        <v>#REF!</v>
      </c>
    </row>
    <row r="42" spans="1:79" s="3" customFormat="1" ht="30" customHeight="1" x14ac:dyDescent="0.2">
      <c r="A42" s="14">
        <v>53163</v>
      </c>
      <c r="B42" s="15" t="s">
        <v>160</v>
      </c>
      <c r="C42" s="19" t="s">
        <v>161</v>
      </c>
      <c r="D42" s="14" t="s">
        <v>159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>
        <v>200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>
        <v>50</v>
      </c>
      <c r="BH42" s="17"/>
      <c r="BI42" s="17"/>
      <c r="BJ42" s="17"/>
      <c r="BK42" s="17"/>
      <c r="BL42" s="17"/>
      <c r="BM42" s="17"/>
      <c r="BN42" s="17"/>
      <c r="BO42" s="17"/>
      <c r="BP42" s="17"/>
      <c r="BQ42" s="17">
        <v>10000</v>
      </c>
      <c r="BR42" s="17"/>
      <c r="BS42" s="17"/>
      <c r="BT42" s="17"/>
      <c r="BU42" s="17"/>
      <c r="BV42" s="17"/>
      <c r="BW42" s="17"/>
      <c r="BX42" s="17">
        <v>2000</v>
      </c>
      <c r="BY42" s="17"/>
      <c r="BZ42" s="17"/>
      <c r="CA42" s="8" t="e">
        <f>VLOOKUP(A42,#REF!,2,0)</f>
        <v>#REF!</v>
      </c>
    </row>
    <row r="43" spans="1:79" s="3" customFormat="1" ht="30" customHeight="1" x14ac:dyDescent="0.2">
      <c r="A43" s="16">
        <v>60680300</v>
      </c>
      <c r="B43" s="15" t="s">
        <v>208</v>
      </c>
      <c r="C43" s="19" t="s">
        <v>209</v>
      </c>
      <c r="D43" s="14" t="s">
        <v>207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>
        <v>600</v>
      </c>
      <c r="BH43" s="17"/>
      <c r="BI43" s="17"/>
      <c r="BJ43" s="17"/>
      <c r="BK43" s="17"/>
      <c r="BL43" s="17"/>
      <c r="BM43" s="17"/>
      <c r="BN43" s="17">
        <v>500</v>
      </c>
      <c r="BO43" s="17"/>
      <c r="BP43" s="17"/>
      <c r="BQ43" s="17"/>
      <c r="BR43" s="17"/>
      <c r="BS43" s="17"/>
      <c r="BT43" s="17"/>
      <c r="BU43" s="17"/>
      <c r="BV43" s="17">
        <v>30</v>
      </c>
      <c r="BW43" s="17"/>
      <c r="BX43" s="17"/>
      <c r="BY43" s="17"/>
      <c r="BZ43" s="17"/>
      <c r="CA43" s="8" t="e">
        <f>VLOOKUP(A43,#REF!,2,0)</f>
        <v>#REF!</v>
      </c>
    </row>
    <row r="44" spans="1:79" s="3" customFormat="1" ht="30" customHeight="1" x14ac:dyDescent="0.2">
      <c r="A44" s="16">
        <v>70840385</v>
      </c>
      <c r="B44" s="15" t="s">
        <v>163</v>
      </c>
      <c r="C44" s="19" t="s">
        <v>164</v>
      </c>
      <c r="D44" s="14" t="s">
        <v>162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>
        <v>40</v>
      </c>
      <c r="AS44" s="17"/>
      <c r="AT44" s="17"/>
      <c r="AU44" s="17"/>
      <c r="AV44" s="17"/>
      <c r="AW44" s="17"/>
      <c r="AX44" s="17"/>
      <c r="AY44" s="17">
        <v>100</v>
      </c>
      <c r="AZ44" s="17"/>
      <c r="BA44" s="17">
        <v>100</v>
      </c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8" t="e">
        <f>VLOOKUP(A44,#REF!,2,0)</f>
        <v>#REF!</v>
      </c>
    </row>
    <row r="45" spans="1:79" s="3" customFormat="1" ht="30" customHeight="1" x14ac:dyDescent="0.2">
      <c r="A45" s="16">
        <v>70840385</v>
      </c>
      <c r="B45" s="15" t="s">
        <v>163</v>
      </c>
      <c r="C45" s="19" t="s">
        <v>164</v>
      </c>
      <c r="D45" s="14" t="s">
        <v>162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>
        <v>40</v>
      </c>
      <c r="AS45" s="17"/>
      <c r="AT45" s="17"/>
      <c r="AU45" s="17"/>
      <c r="AV45" s="17"/>
      <c r="AW45" s="17"/>
      <c r="AX45" s="17"/>
      <c r="AY45" s="17">
        <v>100</v>
      </c>
      <c r="AZ45" s="17"/>
      <c r="BA45" s="17">
        <v>100</v>
      </c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8" t="e">
        <f>VLOOKUP(A45,#REF!,2,0)</f>
        <v>#REF!</v>
      </c>
    </row>
    <row r="46" spans="1:79" s="3" customFormat="1" ht="30" customHeight="1" x14ac:dyDescent="0.2">
      <c r="A46" s="14">
        <v>4212029</v>
      </c>
      <c r="B46" s="15" t="s">
        <v>250</v>
      </c>
      <c r="C46" s="19" t="s">
        <v>251</v>
      </c>
      <c r="D46" s="14" t="s">
        <v>249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7">
        <v>500</v>
      </c>
      <c r="AG46" s="18"/>
      <c r="AH46" s="17">
        <v>250</v>
      </c>
      <c r="AI46" s="18"/>
      <c r="AJ46" s="18"/>
      <c r="AK46" s="18"/>
      <c r="AL46" s="17">
        <v>2000</v>
      </c>
      <c r="AM46" s="18"/>
      <c r="AN46" s="18"/>
      <c r="AO46" s="17">
        <v>300</v>
      </c>
      <c r="AP46" s="18"/>
      <c r="AQ46" s="18"/>
      <c r="AR46" s="18"/>
      <c r="AS46" s="18"/>
      <c r="AT46" s="17">
        <v>300</v>
      </c>
      <c r="AU46" s="18"/>
      <c r="AV46" s="18"/>
      <c r="AW46" s="18"/>
      <c r="AX46" s="18"/>
      <c r="AY46" s="18"/>
      <c r="AZ46" s="17">
        <v>300</v>
      </c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7">
        <v>100</v>
      </c>
      <c r="BS46" s="18"/>
      <c r="BT46" s="18"/>
      <c r="BU46" s="18"/>
      <c r="BV46" s="18"/>
      <c r="BW46" s="18"/>
      <c r="BX46" s="18"/>
      <c r="BY46" s="18"/>
      <c r="BZ46" s="18"/>
      <c r="CA46" s="8" t="e">
        <f>VLOOKUP(A46,#REF!,2,0)</f>
        <v>#REF!</v>
      </c>
    </row>
    <row r="47" spans="1:79" s="3" customFormat="1" ht="30" customHeight="1" x14ac:dyDescent="0.2">
      <c r="A47" s="14">
        <v>559539</v>
      </c>
      <c r="B47" s="15" t="s">
        <v>234</v>
      </c>
      <c r="C47" s="19" t="s">
        <v>235</v>
      </c>
      <c r="D47" s="14" t="s">
        <v>233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7">
        <v>300</v>
      </c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8" t="e">
        <f>VLOOKUP(A47,#REF!,2,0)</f>
        <v>#REF!</v>
      </c>
    </row>
    <row r="48" spans="1:79" s="3" customFormat="1" ht="30" customHeight="1" x14ac:dyDescent="0.2">
      <c r="A48" s="16">
        <v>70932581</v>
      </c>
      <c r="B48" s="15" t="s">
        <v>78</v>
      </c>
      <c r="C48" s="19" t="s">
        <v>101</v>
      </c>
      <c r="D48" s="14" t="s">
        <v>100</v>
      </c>
      <c r="E48" s="17"/>
      <c r="F48" s="17"/>
      <c r="G48" s="17"/>
      <c r="H48" s="17"/>
      <c r="I48" s="17">
        <v>300</v>
      </c>
      <c r="J48" s="17"/>
      <c r="K48" s="17">
        <v>600</v>
      </c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>
        <v>100</v>
      </c>
      <c r="Y48" s="17"/>
      <c r="Z48" s="17">
        <v>600</v>
      </c>
      <c r="AA48" s="17"/>
      <c r="AB48" s="17"/>
      <c r="AC48" s="17"/>
      <c r="AD48" s="17"/>
      <c r="AE48" s="17">
        <v>1000</v>
      </c>
      <c r="AF48" s="17">
        <v>300</v>
      </c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>
        <v>400</v>
      </c>
      <c r="AS48" s="17"/>
      <c r="AT48" s="17">
        <v>100</v>
      </c>
      <c r="AU48" s="17"/>
      <c r="AV48" s="17">
        <v>100</v>
      </c>
      <c r="AW48" s="17"/>
      <c r="AX48" s="17">
        <v>1900</v>
      </c>
      <c r="AY48" s="17"/>
      <c r="AZ48" s="17"/>
      <c r="BA48" s="17"/>
      <c r="BB48" s="17"/>
      <c r="BC48" s="17">
        <v>120</v>
      </c>
      <c r="BD48" s="17"/>
      <c r="BE48" s="17"/>
      <c r="BF48" s="17"/>
      <c r="BG48" s="17"/>
      <c r="BH48" s="17"/>
      <c r="BI48" s="17"/>
      <c r="BJ48" s="17">
        <v>80</v>
      </c>
      <c r="BK48" s="17"/>
      <c r="BL48" s="17"/>
      <c r="BM48" s="17"/>
      <c r="BN48" s="17">
        <v>500</v>
      </c>
      <c r="BO48" s="17"/>
      <c r="BP48" s="17">
        <v>500</v>
      </c>
      <c r="BQ48" s="17"/>
      <c r="BR48" s="17"/>
      <c r="BS48" s="17"/>
      <c r="BT48" s="17"/>
      <c r="BU48" s="17"/>
      <c r="BV48" s="17">
        <v>15</v>
      </c>
      <c r="BW48" s="17"/>
      <c r="BX48" s="17"/>
      <c r="BY48" s="17"/>
      <c r="BZ48" s="17"/>
      <c r="CA48" s="8" t="e">
        <f>VLOOKUP(A48,#REF!,2,0)</f>
        <v>#REF!</v>
      </c>
    </row>
    <row r="49" spans="1:79" s="3" customFormat="1" ht="30" customHeight="1" x14ac:dyDescent="0.2">
      <c r="A49" s="16">
        <v>70836931</v>
      </c>
      <c r="B49" s="15" t="s">
        <v>231</v>
      </c>
      <c r="C49" s="19" t="s">
        <v>232</v>
      </c>
      <c r="D49" s="14" t="s">
        <v>230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>
        <v>50</v>
      </c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8" t="e">
        <f>VLOOKUP(A49,#REF!,2,0)</f>
        <v>#REF!</v>
      </c>
    </row>
    <row r="50" spans="1:79" s="3" customFormat="1" ht="30" customHeight="1" x14ac:dyDescent="0.2">
      <c r="A50" s="14">
        <v>837385</v>
      </c>
      <c r="B50" s="15" t="s">
        <v>238</v>
      </c>
      <c r="C50" s="19" t="s">
        <v>239</v>
      </c>
      <c r="D50" s="14" t="s">
        <v>237</v>
      </c>
      <c r="E50" s="18"/>
      <c r="F50" s="18"/>
      <c r="G50" s="18"/>
      <c r="H50" s="18"/>
      <c r="I50" s="18"/>
      <c r="J50" s="18"/>
      <c r="K50" s="17">
        <v>2500</v>
      </c>
      <c r="L50" s="18"/>
      <c r="M50" s="18"/>
      <c r="N50" s="18"/>
      <c r="O50" s="18"/>
      <c r="P50" s="18"/>
      <c r="Q50" s="17">
        <v>250</v>
      </c>
      <c r="R50" s="18"/>
      <c r="S50" s="18"/>
      <c r="T50" s="18"/>
      <c r="U50" s="18"/>
      <c r="V50" s="18"/>
      <c r="W50" s="18"/>
      <c r="X50" s="18"/>
      <c r="Y50" s="18"/>
      <c r="Z50" s="17">
        <v>250</v>
      </c>
      <c r="AA50" s="18"/>
      <c r="AB50" s="18"/>
      <c r="AC50" s="18"/>
      <c r="AD50" s="17">
        <v>250</v>
      </c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7">
        <v>900</v>
      </c>
      <c r="AS50" s="18"/>
      <c r="AT50" s="17">
        <v>450</v>
      </c>
      <c r="AU50" s="18"/>
      <c r="AV50" s="17">
        <v>450</v>
      </c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7">
        <v>10000</v>
      </c>
      <c r="BS50" s="18"/>
      <c r="BT50" s="17">
        <v>20</v>
      </c>
      <c r="BU50" s="18"/>
      <c r="BV50" s="17">
        <v>10</v>
      </c>
      <c r="BW50" s="18"/>
      <c r="BX50" s="18"/>
      <c r="BY50" s="18"/>
      <c r="BZ50" s="18"/>
      <c r="CA50" s="8" t="e">
        <f>VLOOKUP(A50,#REF!,2,0)</f>
        <v>#REF!</v>
      </c>
    </row>
    <row r="51" spans="1:79" s="3" customFormat="1" ht="30" customHeight="1" x14ac:dyDescent="0.2">
      <c r="A51" s="16">
        <v>49408381</v>
      </c>
      <c r="B51" s="15" t="s">
        <v>144</v>
      </c>
      <c r="C51" s="19" t="s">
        <v>145</v>
      </c>
      <c r="D51" s="14" t="s">
        <v>143</v>
      </c>
      <c r="E51" s="17">
        <v>1700</v>
      </c>
      <c r="F51" s="18"/>
      <c r="G51" s="18"/>
      <c r="H51" s="17">
        <v>5000</v>
      </c>
      <c r="I51" s="18"/>
      <c r="J51" s="18"/>
      <c r="K51" s="18"/>
      <c r="L51" s="18"/>
      <c r="M51" s="18"/>
      <c r="N51" s="18"/>
      <c r="O51" s="18"/>
      <c r="P51" s="18"/>
      <c r="Q51" s="17">
        <v>1000</v>
      </c>
      <c r="R51" s="18"/>
      <c r="S51" s="18"/>
      <c r="T51" s="18"/>
      <c r="U51" s="18"/>
      <c r="V51" s="18"/>
      <c r="W51" s="18"/>
      <c r="X51" s="18"/>
      <c r="Y51" s="18"/>
      <c r="Z51" s="17">
        <v>2000</v>
      </c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7">
        <v>3000</v>
      </c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7">
        <v>20000</v>
      </c>
      <c r="BR51" s="18"/>
      <c r="BS51" s="18"/>
      <c r="BT51" s="18"/>
      <c r="BU51" s="18"/>
      <c r="BV51" s="18"/>
      <c r="BW51" s="18"/>
      <c r="BX51" s="18"/>
      <c r="BY51" s="18"/>
      <c r="BZ51" s="18"/>
      <c r="CA51" s="8" t="e">
        <f>VLOOKUP(A51,#REF!,2,0)</f>
        <v>#REF!</v>
      </c>
    </row>
    <row r="52" spans="1:79" s="3" customFormat="1" ht="30" customHeight="1" x14ac:dyDescent="0.2">
      <c r="A52" s="14">
        <v>838225</v>
      </c>
      <c r="B52" s="15" t="s">
        <v>228</v>
      </c>
      <c r="C52" s="19" t="s">
        <v>229</v>
      </c>
      <c r="D52" s="14" t="s">
        <v>227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7">
        <v>2000</v>
      </c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8" t="e">
        <f>VLOOKUP(A52,#REF!,2,0)</f>
        <v>#REF!</v>
      </c>
    </row>
    <row r="53" spans="1:79" s="3" customFormat="1" ht="30" customHeight="1" x14ac:dyDescent="0.2">
      <c r="A53" s="16">
        <v>60552255</v>
      </c>
      <c r="B53" s="15" t="s">
        <v>123</v>
      </c>
      <c r="C53" s="19" t="s">
        <v>124</v>
      </c>
      <c r="D53" s="14" t="s">
        <v>122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7">
        <v>300</v>
      </c>
      <c r="AI53" s="18"/>
      <c r="AJ53" s="18"/>
      <c r="AK53" s="18"/>
      <c r="AL53" s="18"/>
      <c r="AM53" s="18"/>
      <c r="AN53" s="18"/>
      <c r="AO53" s="18"/>
      <c r="AP53" s="18"/>
      <c r="AQ53" s="18"/>
      <c r="AR53" s="17">
        <v>300</v>
      </c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8" t="e">
        <f>VLOOKUP(A53,#REF!,2,0)</f>
        <v>#REF!</v>
      </c>
    </row>
    <row r="54" spans="1:79" s="3" customFormat="1" ht="30" customHeight="1" x14ac:dyDescent="0.2">
      <c r="A54" s="16">
        <v>70285306</v>
      </c>
      <c r="B54" s="15" t="s">
        <v>79</v>
      </c>
      <c r="C54" s="19" t="s">
        <v>103</v>
      </c>
      <c r="D54" s="14" t="s">
        <v>102</v>
      </c>
      <c r="E54" s="18"/>
      <c r="F54" s="18"/>
      <c r="G54" s="18"/>
      <c r="H54" s="17">
        <v>50</v>
      </c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7">
        <v>5</v>
      </c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8" t="e">
        <f>VLOOKUP(A54,#REF!,2,0)</f>
        <v>#REF!</v>
      </c>
    </row>
    <row r="55" spans="1:79" s="3" customFormat="1" ht="30" customHeight="1" x14ac:dyDescent="0.2">
      <c r="A55" s="14">
        <v>838446</v>
      </c>
      <c r="B55" s="15" t="s">
        <v>169</v>
      </c>
      <c r="C55" s="19" t="s">
        <v>170</v>
      </c>
      <c r="D55" s="14" t="s">
        <v>168</v>
      </c>
      <c r="E55" s="18"/>
      <c r="F55" s="18"/>
      <c r="G55" s="18"/>
      <c r="H55" s="18"/>
      <c r="I55" s="17">
        <v>4500</v>
      </c>
      <c r="J55" s="17">
        <v>900</v>
      </c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7">
        <v>6000</v>
      </c>
      <c r="Y55" s="18"/>
      <c r="Z55" s="18"/>
      <c r="AA55" s="18"/>
      <c r="AB55" s="18"/>
      <c r="AC55" s="18"/>
      <c r="AD55" s="18"/>
      <c r="AE55" s="17">
        <v>3300</v>
      </c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7">
        <v>300</v>
      </c>
      <c r="AS55" s="18"/>
      <c r="AT55" s="18"/>
      <c r="AU55" s="18"/>
      <c r="AV55" s="18"/>
      <c r="AW55" s="18"/>
      <c r="AX55" s="18"/>
      <c r="AY55" s="17">
        <v>2000</v>
      </c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7">
        <v>7500</v>
      </c>
      <c r="BP55" s="18"/>
      <c r="BQ55" s="18"/>
      <c r="BR55" s="18"/>
      <c r="BS55" s="18"/>
      <c r="BT55" s="18"/>
      <c r="BU55" s="17">
        <v>4</v>
      </c>
      <c r="BV55" s="18"/>
      <c r="BW55" s="18"/>
      <c r="BX55" s="17">
        <v>3000</v>
      </c>
      <c r="BY55" s="18"/>
      <c r="BZ55" s="18"/>
      <c r="CA55" s="8" t="e">
        <f>VLOOKUP(A55,#REF!,2,0)</f>
        <v>#REF!</v>
      </c>
    </row>
    <row r="56" spans="1:79" s="3" customFormat="1" ht="30" customHeight="1" x14ac:dyDescent="0.2">
      <c r="A56" s="16">
        <v>62076051</v>
      </c>
      <c r="B56" s="15" t="s">
        <v>193</v>
      </c>
      <c r="C56" s="19" t="s">
        <v>194</v>
      </c>
      <c r="D56" s="14" t="s">
        <v>192</v>
      </c>
      <c r="E56" s="17">
        <v>250</v>
      </c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7">
        <v>25</v>
      </c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8" t="e">
        <f>VLOOKUP(A56,#REF!,2,0)</f>
        <v>#REF!</v>
      </c>
    </row>
    <row r="57" spans="1:79" s="3" customFormat="1" ht="30" customHeight="1" x14ac:dyDescent="0.2">
      <c r="A57" s="14">
        <v>637980</v>
      </c>
      <c r="B57" s="15" t="s">
        <v>86</v>
      </c>
      <c r="C57" s="19" t="s">
        <v>87</v>
      </c>
      <c r="D57" s="14" t="s">
        <v>85</v>
      </c>
      <c r="E57" s="17">
        <v>100</v>
      </c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7">
        <v>220</v>
      </c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7">
        <v>150</v>
      </c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7">
        <v>10</v>
      </c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8" t="e">
        <f>VLOOKUP(A57,#REF!,2,0)</f>
        <v>#REF!</v>
      </c>
    </row>
    <row r="58" spans="1:79" s="3" customFormat="1" ht="30" customHeight="1" x14ac:dyDescent="0.2">
      <c r="A58" s="14">
        <v>53198</v>
      </c>
      <c r="B58" s="15" t="s">
        <v>222</v>
      </c>
      <c r="C58" s="19" t="s">
        <v>223</v>
      </c>
      <c r="D58" s="14" t="s">
        <v>221</v>
      </c>
      <c r="E58" s="17"/>
      <c r="F58" s="17"/>
      <c r="G58" s="17">
        <v>10</v>
      </c>
      <c r="H58" s="17">
        <v>10</v>
      </c>
      <c r="I58" s="17">
        <v>10</v>
      </c>
      <c r="J58" s="17"/>
      <c r="K58" s="17"/>
      <c r="L58" s="17"/>
      <c r="M58" s="17"/>
      <c r="N58" s="17"/>
      <c r="O58" s="17"/>
      <c r="P58" s="17"/>
      <c r="Q58" s="17">
        <v>10</v>
      </c>
      <c r="R58" s="17"/>
      <c r="S58" s="17"/>
      <c r="T58" s="17"/>
      <c r="U58" s="17"/>
      <c r="V58" s="17"/>
      <c r="W58" s="17"/>
      <c r="X58" s="17"/>
      <c r="Y58" s="17"/>
      <c r="Z58" s="17">
        <v>10</v>
      </c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>
        <v>10</v>
      </c>
      <c r="BH58" s="17"/>
      <c r="BI58" s="17"/>
      <c r="BJ58" s="18"/>
      <c r="BK58" s="17"/>
      <c r="BL58" s="17"/>
      <c r="BM58" s="17"/>
      <c r="BN58" s="17"/>
      <c r="BO58" s="17">
        <v>500</v>
      </c>
      <c r="BP58" s="17"/>
      <c r="BQ58" s="17">
        <v>500</v>
      </c>
      <c r="BR58" s="17">
        <v>500</v>
      </c>
      <c r="BS58" s="17"/>
      <c r="BT58" s="17"/>
      <c r="BU58" s="17"/>
      <c r="BV58" s="17"/>
      <c r="BW58" s="17"/>
      <c r="BX58" s="17"/>
      <c r="BY58" s="17"/>
      <c r="BZ58" s="17"/>
      <c r="CA58" s="8" t="e">
        <f>VLOOKUP(A58,#REF!,2,0)</f>
        <v>#REF!</v>
      </c>
    </row>
    <row r="59" spans="1:79" s="3" customFormat="1" ht="30" customHeight="1" x14ac:dyDescent="0.2">
      <c r="A59" s="16">
        <v>60555980</v>
      </c>
      <c r="B59" s="15" t="s">
        <v>135</v>
      </c>
      <c r="C59" s="19" t="s">
        <v>136</v>
      </c>
      <c r="D59" s="14" t="s">
        <v>134</v>
      </c>
      <c r="E59" s="18"/>
      <c r="F59" s="18"/>
      <c r="G59" s="18"/>
      <c r="H59" s="18"/>
      <c r="I59" s="18"/>
      <c r="J59" s="18"/>
      <c r="K59" s="18"/>
      <c r="L59" s="18"/>
      <c r="M59" s="18"/>
      <c r="N59" s="17">
        <v>30</v>
      </c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7">
        <v>30</v>
      </c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7">
        <v>50</v>
      </c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8" t="e">
        <f>VLOOKUP(A59,#REF!,2,0)</f>
        <v>#REF!</v>
      </c>
    </row>
    <row r="60" spans="1:79" s="3" customFormat="1" ht="30" customHeight="1" x14ac:dyDescent="0.2">
      <c r="A60" s="16">
        <v>70843082</v>
      </c>
      <c r="B60" s="15" t="s">
        <v>117</v>
      </c>
      <c r="C60" s="19" t="s">
        <v>118</v>
      </c>
      <c r="D60" s="14" t="s">
        <v>116</v>
      </c>
      <c r="E60" s="18"/>
      <c r="F60" s="18"/>
      <c r="G60" s="18"/>
      <c r="H60" s="18"/>
      <c r="I60" s="18"/>
      <c r="J60" s="18"/>
      <c r="K60" s="18"/>
      <c r="L60" s="18"/>
      <c r="M60" s="18"/>
      <c r="N60" s="17">
        <v>4000</v>
      </c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8" t="e">
        <f>VLOOKUP(A60,#REF!,2,0)</f>
        <v>#REF!</v>
      </c>
    </row>
    <row r="61" spans="1:79" s="3" customFormat="1" ht="30" customHeight="1" x14ac:dyDescent="0.2">
      <c r="A61" s="16">
        <v>70285314</v>
      </c>
      <c r="B61" s="15" t="s">
        <v>95</v>
      </c>
      <c r="C61" s="19" t="s">
        <v>96</v>
      </c>
      <c r="D61" s="14" t="s">
        <v>94</v>
      </c>
      <c r="E61" s="18"/>
      <c r="F61" s="18"/>
      <c r="G61" s="18"/>
      <c r="H61" s="18"/>
      <c r="I61" s="17">
        <v>2000</v>
      </c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7">
        <v>375</v>
      </c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7">
        <v>50</v>
      </c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8" t="e">
        <f>VLOOKUP(A61,#REF!,2,0)</f>
        <v>#REF!</v>
      </c>
    </row>
    <row r="62" spans="1:79" s="3" customFormat="1" ht="30" customHeight="1" x14ac:dyDescent="0.2">
      <c r="A62" s="14">
        <v>387134</v>
      </c>
      <c r="B62" s="15" t="s">
        <v>172</v>
      </c>
      <c r="C62" s="19" t="s">
        <v>173</v>
      </c>
      <c r="D62" s="14" t="s">
        <v>171</v>
      </c>
      <c r="E62" s="18"/>
      <c r="F62" s="18"/>
      <c r="G62" s="18"/>
      <c r="H62" s="18"/>
      <c r="I62" s="17">
        <v>1000</v>
      </c>
      <c r="J62" s="17">
        <v>12000</v>
      </c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7">
        <v>2000</v>
      </c>
      <c r="AD62" s="18"/>
      <c r="AE62" s="18"/>
      <c r="AF62" s="18"/>
      <c r="AG62" s="18"/>
      <c r="AH62" s="18"/>
      <c r="AI62" s="18"/>
      <c r="AJ62" s="18"/>
      <c r="AK62" s="18"/>
      <c r="AL62" s="18"/>
      <c r="AM62" s="17">
        <v>8000</v>
      </c>
      <c r="AN62" s="17">
        <v>500</v>
      </c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7">
        <v>6000</v>
      </c>
      <c r="BB62" s="18"/>
      <c r="BC62" s="18"/>
      <c r="BD62" s="18"/>
      <c r="BE62" s="18"/>
      <c r="BF62" s="18"/>
      <c r="BG62" s="18"/>
      <c r="BH62" s="18"/>
      <c r="BI62" s="17">
        <v>4000</v>
      </c>
      <c r="BJ62" s="18"/>
      <c r="BK62" s="18"/>
      <c r="BL62" s="18"/>
      <c r="BM62" s="18"/>
      <c r="BN62" s="18"/>
      <c r="BO62" s="18"/>
      <c r="BP62" s="18"/>
      <c r="BQ62" s="17">
        <v>5000</v>
      </c>
      <c r="BR62" s="18"/>
      <c r="BS62" s="18"/>
      <c r="BT62" s="18"/>
      <c r="BU62" s="18"/>
      <c r="BV62" s="18"/>
      <c r="BW62" s="18"/>
      <c r="BX62" s="18"/>
      <c r="BY62" s="18"/>
      <c r="BZ62" s="18"/>
      <c r="CA62" s="8" t="e">
        <f>VLOOKUP(A62,#REF!,2,0)</f>
        <v>#REF!</v>
      </c>
    </row>
    <row r="63" spans="1:79" s="4" customFormat="1" ht="30" customHeight="1" x14ac:dyDescent="0.2">
      <c r="A63" s="16">
        <v>70285837</v>
      </c>
      <c r="B63" s="15" t="s">
        <v>132</v>
      </c>
      <c r="C63" s="19" t="s">
        <v>133</v>
      </c>
      <c r="D63" s="14" t="s">
        <v>131</v>
      </c>
      <c r="E63" s="17"/>
      <c r="F63" s="17"/>
      <c r="G63" s="17"/>
      <c r="H63" s="17">
        <v>500</v>
      </c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>
        <v>180</v>
      </c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>
        <v>220</v>
      </c>
      <c r="BH63" s="17"/>
      <c r="BI63" s="17"/>
      <c r="BJ63" s="17">
        <v>40</v>
      </c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9" t="e">
        <f>VLOOKUP(A63,#REF!,2,0)</f>
        <v>#REF!</v>
      </c>
    </row>
    <row r="64" spans="1:79" s="5" customFormat="1" ht="32.1" customHeight="1" x14ac:dyDescent="0.2">
      <c r="A64" s="13"/>
      <c r="B64" s="7"/>
      <c r="C64" s="7"/>
      <c r="D64" s="7"/>
      <c r="E64" s="7">
        <f>SUBTOTAL(109,Form_Responses13[Pytle odpadní, HDPE, vel. 49 x 60cm, minimální síla 15µ, barva černá (cca 30 - 35l)])</f>
        <v>16450</v>
      </c>
      <c r="F64" s="7">
        <f>SUBTOTAL(109,Form_Responses13[Pytle odpadní, HDPE, vel. 49 x 60cm, minimální síla 15µ, barva bílá  (cca 30 - 35l), ])</f>
        <v>10500</v>
      </c>
      <c r="G64" s="7">
        <f>SUBTOTAL(109,Form_Responses13[Pytle odpadní, HDPE, vel. 49 x 60cm, minimální síla 20µ , barva žlutá  (cca 30 - 35l)])</f>
        <v>2710</v>
      </c>
      <c r="H64" s="7">
        <f>SUBTOTAL(109,Form_Responses13[Pytle odpadní, LDPE, vel. 50 x 60cm, minimální síla 40µ, barva černá (cca 35l)])</f>
        <v>40060</v>
      </c>
      <c r="I64" s="7">
        <f>SUBTOTAL(109,Form_Responses13[Pytle odpadní, HDPE, vel. 50 x 60cm, minimální síla 20µ, barva černá (cca 35l) ])</f>
        <v>42360</v>
      </c>
      <c r="J64" s="7">
        <f>SUBTOTAL(109,Form_Responses13[Pytle odpadní, HDPE, vel. 50 x 60cm, minimální síla 20µ, barva bílá  (cca 35l), ])</f>
        <v>22900</v>
      </c>
      <c r="K64" s="7">
        <f>SUBTOTAL(109,Form_Responses13[Pytle odpadní, LDPE, vel. 50 x 60cm, minimální síla 50µ, barva černá  (cca 35l)])</f>
        <v>42500</v>
      </c>
      <c r="L64" s="7">
        <f>SUBTOTAL(109,Form_Responses13[Pytle odpadní, LDPE, vel. 50 x 60cm, minimální síla 50µ, barva červená  (cca 35l)])</f>
        <v>6900</v>
      </c>
      <c r="M64" s="7">
        <f>SUBTOTAL(109,Form_Responses13[Pytle odpadní, LDPE, vel. 50 x 60cm, minimální síla 60µ, barva černá  (cca 35l)])</f>
        <v>5300</v>
      </c>
      <c r="N64" s="7">
        <f>SUBTOTAL(109,Form_Responses13[Pytle odpadní, LDPE, vel. 50 x 60cm, minimální síla 60µ, barva červená  (cca 35l)])</f>
        <v>5530</v>
      </c>
      <c r="O64" s="7">
        <f>SUBTOTAL(109,Form_Responses13[Pytle odpadní, LDPE, vel. 50 x 60cm, minimální síla 200µ, barva černá (cca 35l)])</f>
        <v>0</v>
      </c>
      <c r="P64" s="7">
        <f>SUBTOTAL(109,Form_Responses13[Pytle odpadní, LDPE, vel. 55 x 60cm, minimální síla 60µ, barva černá (cca 40l)])</f>
        <v>25</v>
      </c>
      <c r="Q64" s="7">
        <f>SUBTOTAL(109,Form_Responses13[Pytle odpadní, LDPE, 55 x 100cm, minimální síla 60µ, barva černá  (cca 80l)])</f>
        <v>1260</v>
      </c>
      <c r="R64" s="7">
        <f>SUBTOTAL(109,Form_Responses13[Pytle odpadní, LDPE, 55 x 100cm, minimální síla 60µ, barva červená  (cca 80l)])</f>
        <v>0</v>
      </c>
      <c r="S64" s="7">
        <f>SUBTOTAL(109,Form_Responses13[Pytle odpadní, LDPE, 55 x 100cm, minimální síla 60µ, barva žlutá (cca 80l)])</f>
        <v>0</v>
      </c>
      <c r="T64" s="7">
        <f>SUBTOTAL(109,Form_Responses13[Pytle odpadní, LDPE, vel. 55 x 100cm, minimální síla 80µ, barva černá (cca 80l)])</f>
        <v>200</v>
      </c>
      <c r="U64" s="7">
        <f>SUBTOTAL(109,Form_Responses13[Pytle odpadní, LDPE, vel. 55 x 100cm, minimální síla 80µ, barva červená (cca 80l)])</f>
        <v>0</v>
      </c>
      <c r="V64" s="7">
        <f>SUBTOTAL(109,Form_Responses13[Pytle odpadní, HDPE, 60 x 50cm, minimální síla 20µ, barva zelená (cca 30l)])</f>
        <v>0</v>
      </c>
      <c r="W64" s="7">
        <f>SUBTOTAL(109,Form_Responses13[Pytle odpadní, HDPE, 60 x 70cm, minimální síla 20µ, barva modrá (cca 60l)])</f>
        <v>2580</v>
      </c>
      <c r="X64" s="7">
        <f>SUBTOTAL(109,Form_Responses13[Pytle odpadní, HDPE, 60 x 80cm, minimální síla 15µ, barva černá (cca 60l)])</f>
        <v>42180</v>
      </c>
      <c r="Y64" s="7">
        <f>SUBTOTAL(109,Form_Responses13[Pytle odpadní, HDPE, 60 x 80cm, minimální síla 15µ, barva transparentní (cca 60l)])</f>
        <v>2000</v>
      </c>
      <c r="Z64" s="7">
        <f>SUBTOTAL(109,Form_Responses13[Pytle odpadní, LDPE, 60 x 80cm, minimální síla 35µ, barva černá (cca 60l)])</f>
        <v>15620</v>
      </c>
      <c r="AA64" s="7">
        <f>SUBTOTAL(109,Form_Responses13[Pytle odpadní, HDPE, vel. 63 x 85cm, minimální 15µ, barva bílá (cca 72l)])</f>
        <v>35850</v>
      </c>
      <c r="AB64" s="7">
        <f>SUBTOTAL(109,Form_Responses13[Pytle odpadní, HDPE, vel. 63 x 85cm, minimální 15µ, barva transparentní  (cca 72l)])</f>
        <v>200</v>
      </c>
      <c r="AC64" s="7">
        <f>SUBTOTAL(109,Form_Responses13[Pytle odpadní, HDPE, vel. 64 x 71cm, síla 20µ, barva  černá (cca 60l)])</f>
        <v>6250</v>
      </c>
      <c r="AD64" s="7">
        <f>SUBTOTAL(109,Form_Responses13[Pytle odpadní, LDPE,vel.  65 x 78cm, síla 60µ, barva černá (cca 60l)])</f>
        <v>14225</v>
      </c>
      <c r="AE64" s="7">
        <f>SUBTOTAL(109,Form_Responses13[Pytle odpadní, zatahovací, LDPE, vel. 70 x 100cm, síla 50µ, barva modrá (cca 110l)])</f>
        <v>4800</v>
      </c>
      <c r="AF64" s="7">
        <f>SUBTOTAL(109,Form_Responses13[Pytle odpadní, LDPE, vel. 70 x 110cm, síla 40µ, barva černá  (cca 110l)])</f>
        <v>1900</v>
      </c>
      <c r="AG64" s="7">
        <f>SUBTOTAL(109,Form_Responses13[Pytle odpadní, LDPE, vel. 70 x 110cm, síla 40µ, barva transparentní, (cca 110l)])</f>
        <v>9000</v>
      </c>
      <c r="AH64" s="7">
        <f>SUBTOTAL(109,Form_Responses13[Pytle odpadní, LDPE, vel. 70 x 110cm, síla 40µ, barva modrá  (cca 110l)])</f>
        <v>3050</v>
      </c>
      <c r="AI64" s="7">
        <f>SUBTOTAL(109,Form_Responses13[Pytle odpadní, LDPE, vel. 70 x 110cm, síla 40µ, barva červená (cca 110l)])</f>
        <v>0</v>
      </c>
      <c r="AJ64" s="7">
        <f>SUBTOTAL(109,Form_Responses13[Pytle odpadní, LDPE, vel. 70 x 110cm, síla 40µ, barva žlutá (cca 110l)])</f>
        <v>250</v>
      </c>
      <c r="AK64" s="7">
        <f>SUBTOTAL(109,Form_Responses13[Pytle odpadní, LDPE, vel. 70 x 110cm, síla 40µ, barva zelená (cca 110l)])</f>
        <v>3000</v>
      </c>
      <c r="AL64" s="7">
        <f>SUBTOTAL(109,Form_Responses13[Pytle odpadní, LDPE, vel. 70 x 110cm, síla 60µ, barva černá (cca 110l)])</f>
        <v>22530</v>
      </c>
      <c r="AM64" s="7">
        <f>SUBTOTAL(109,Form_Responses13[Pytle odpadní, LDPE, vel. 70 x 110cm, síla 60µ, barva transparentní (cca 110l)])</f>
        <v>10150</v>
      </c>
      <c r="AN64" s="7">
        <f>SUBTOTAL(109,Form_Responses13[Pytle odpadní, LDPE, vel. 70 x 110cm, síla 60µ, barva modrá (cca 110l)])</f>
        <v>23380</v>
      </c>
      <c r="AO64" s="7">
        <f>SUBTOTAL(109,Form_Responses13[Pytle odpadní, LDPE, vel. 70 x 110cm, síla 60µ, barva červená (cca 110l)])</f>
        <v>21700</v>
      </c>
      <c r="AP64" s="7">
        <f>SUBTOTAL(109,Form_Responses13[Pytle odpadní, LDPE, vel. 70 x 110cm, síla 60µ, barva žlutá (cca 110l)])</f>
        <v>14630</v>
      </c>
      <c r="AQ64" s="7">
        <f>SUBTOTAL(109,Form_Responses13[Pytle odpadní, LDPE, vel. 70 x 110cm, síla 60µ, barva zelená (cca 110l)])</f>
        <v>23000</v>
      </c>
      <c r="AR64" s="7">
        <f>SUBTOTAL(109,Form_Responses13[Pytle odpadní, LDPE, vel. 70 x 110cm, minimální síla 80µ, barva černá (cca 110l)])</f>
        <v>36080</v>
      </c>
      <c r="AS64" s="7">
        <f>SUBTOTAL(109,Form_Responses13[Pytle odpadní, LDPE, vel. 70 x 110cm, minimální síla 80µ, barva transparentní (cca 110l)])</f>
        <v>4500</v>
      </c>
      <c r="AT64" s="7">
        <f>SUBTOTAL(109,Form_Responses13[Pytle odpadní, LDPE, vel. 70 x 110cm, minimální síla 80µ, barva modrá (cca 110l)])</f>
        <v>7250</v>
      </c>
      <c r="AU64" s="7">
        <f>SUBTOTAL(109,Form_Responses13[Pytle odpadní, LDPE, vel. 70 x 110cm, minimální síla 80µ, barva červená (cca 110l)])</f>
        <v>5800</v>
      </c>
      <c r="AV64" s="7">
        <f>SUBTOTAL(109,Form_Responses13[Pytle odpadní, LDPE, vel. 70 x 110cm, minimální síla 80µ, barva žlutá (cca 110l)])</f>
        <v>3500</v>
      </c>
      <c r="AW64" s="7">
        <f>SUBTOTAL(109,Form_Responses13[Pytle odpadní, LDPE, vel. 70 x 110cm, minimální síla 80µ, barva zelená (cca 110l)])</f>
        <v>1650</v>
      </c>
      <c r="AX64" s="7">
        <f>SUBTOTAL(109,Form_Responses13[Pytle odpadní, LDPE, vel. 70 x 110cm, minimální síla 100µ, barva černá (cca 110l)])</f>
        <v>9250</v>
      </c>
      <c r="AY64" s="7">
        <f>SUBTOTAL(109,Form_Responses13[Pytle odpadní, LDPE, vel. 70 x 110cm, minimální síla 100µ, barva modrá (cca 110l)])</f>
        <v>5200</v>
      </c>
      <c r="AZ64" s="7">
        <f>SUBTOTAL(109,Form_Responses13[Pytle odpadní, LDPE, vel. 70 x 110cm, minimální síla 100µ, barva červená (cca 110l)])</f>
        <v>350</v>
      </c>
      <c r="BA64" s="7">
        <f>SUBTOTAL(109,Form_Responses13[Pytle odpadní, LDPE, vel. 70 x 110cm, minimální síla 100µ, barva žlutá (cca 110l)])</f>
        <v>6200</v>
      </c>
      <c r="BB64" s="7">
        <f>SUBTOTAL(109,Form_Responses13[Pytle odpadní, LDPE, vel. 70 x 110cm, minimální síla 180µ, barva černá (cca 110l)])</f>
        <v>0</v>
      </c>
      <c r="BC64" s="7">
        <f>SUBTOTAL(109,Form_Responses13[Pytle odpadní, LDPE, vel. 70 x 110cm, minimální síla 200µ, barva černá (cca 110l)])</f>
        <v>380</v>
      </c>
      <c r="BD64" s="7">
        <f>SUBTOTAL(109,Form_Responses13[Pytle odpadní, LDPE, vel. 70 x 110cm, minimální síla 200µ, barva žlutá (cca 110l)])</f>
        <v>0</v>
      </c>
      <c r="BE64" s="7">
        <f>SUBTOTAL(109,Form_Responses13[Pytle odpadní - BIOODPAD s potiskem, LDPE, vel. 70 x 110cm, minimální síla 100µ, barva červená (cca 110l)])</f>
        <v>2500</v>
      </c>
      <c r="BF64" s="7">
        <f>SUBTOTAL(109,Form_Responses13[Pytle odpadní, LDPE, vel. 70 x 120cm, minimální síla 100µ, barva modrá (cca 120l)])</f>
        <v>2100</v>
      </c>
      <c r="BG64" s="7">
        <f>SUBTOTAL(109,Form_Responses13[Pytle odpadní, LDPE, vel. 70 x 120cm, minimální síla 100µ, barva černá (cca 120l)])</f>
        <v>5965</v>
      </c>
      <c r="BH64" s="7">
        <f>SUBTOTAL(109,Form_Responses13[Pytle odpadní, LDPE, vel. 80 x 120cm, minimální síla 100µ, barva transparentní (cca 130l)])</f>
        <v>550</v>
      </c>
      <c r="BI64" s="7">
        <f>SUBTOTAL(109,Form_Responses13[Pytle odpadní, HDPE, vel. 85 x 63cm, minimální síla 20µ, barva bílá (cca 72l)])</f>
        <v>7100</v>
      </c>
      <c r="BJ64" s="7">
        <f>SUBTOTAL(109,Form_Responses13[Pytle odpadní, LDPE, vel. 100 x 120cm, minimální síla 80µ, barva černá (cca 240 l)])</f>
        <v>320</v>
      </c>
      <c r="BK64" s="7">
        <f>SUBTOTAL(109,Form_Responses13[Sáčky transparentní, HDPE, vel. 16 x 24cm, minimální síla 8µ])</f>
        <v>0</v>
      </c>
      <c r="BL64" s="7">
        <f>SUBTOTAL(109,Form_Responses13[Sáčky transparentní, HDPE, vel. 20 x 30cm, minimální síla 10µ])</f>
        <v>0</v>
      </c>
      <c r="BM64" s="7">
        <f>SUBTOTAL(109,Form_Responses13[Sáčky transparentní, HDPE, vel. 20 x 30cm, minimální síla 12µ])</f>
        <v>18830</v>
      </c>
      <c r="BN64" s="7">
        <f>SUBTOTAL(109,Form_Responses13[Sáčky transparentní, HDPE, vel. 20 x 30cm, minimální síla 12µ - boční sklad])</f>
        <v>1500</v>
      </c>
      <c r="BO64" s="7">
        <f>SUBTOTAL(109,Form_Responses13[Sáčky transparentní, HDPE, vel. 25 x 35cm, minimální síla 9µ])</f>
        <v>28600</v>
      </c>
      <c r="BP64" s="7">
        <f>SUBTOTAL(109,Form_Responses13[Sáčky transparentní, HDPE, vel. 25 x 35cm, minimální síla 9µ - boční sklad])</f>
        <v>1000</v>
      </c>
      <c r="BQ64" s="7">
        <f>SUBTOTAL(109,Form_Responses13[Sáčky transparentní, HDPE, vel. 25 x 35cm (využitelná výška), minimální síla 9µ - s "ušima"])</f>
        <v>43500</v>
      </c>
      <c r="BR64" s="7">
        <f>SUBTOTAL(109,Form_Responses13[Sáčky transparentní, HDPE, vel. 25 x 35cm, minimální síla 20µ ])</f>
        <v>26330</v>
      </c>
      <c r="BS64" s="7">
        <f>SUBTOTAL(109,Form_Responses13[Sáčky transparentní, HDPE, vel. 45 x 30cm, minimální síla 20µ])</f>
        <v>3600</v>
      </c>
      <c r="BT64" s="7">
        <f>SUBTOTAL(109,Form_Responses13[Pytle potravinářské transparentní, LDPE, vel. 70 x 110cm, minimální síla 60µ])</f>
        <v>520</v>
      </c>
      <c r="BU64" s="7">
        <f>SUBTOTAL(109,Form_Responses13[Fólie potravinářské transparentní, LDPE, vel. 30 x 30000cm, minimální síla 9µ])</f>
        <v>24</v>
      </c>
      <c r="BV64" s="7">
        <f>SUBTOTAL(109,Form_Responses13[Fólie potravinářské transparentní, LDPE, vel. 45 x 30000cm, minimální síla 12µ])</f>
        <v>123</v>
      </c>
      <c r="BW64" s="7">
        <f>SUBTOTAL(109,Form_Responses13[Fólie potravinářské transparentní, LDPE, vel. 50 x 30000cm, minimální síla 23µ ])</f>
        <v>12</v>
      </c>
      <c r="BX64" s="7">
        <f>SUBTOTAL(109,Form_Responses13[Přířezy skládané transparentní, HDPE, vel. 50 x 70cm, minimální síla 6µ])</f>
        <v>8006</v>
      </c>
      <c r="BY64" s="7">
        <f>SUBTOTAL(109,Form_Responses13[Mikroténová taška bílá, LDPE, vel. 30 x 54cm, minimální síla 100µ])</f>
        <v>0</v>
      </c>
      <c r="BZ64" s="7">
        <f>SUBTOTAL(109,Form_Responses13[Zavírací páska transparentní, PP, vel. 4,8 x 6600 cm, minimální síla 43µ])</f>
        <v>0</v>
      </c>
      <c r="CA64" s="7"/>
    </row>
    <row r="66" spans="1:7" ht="15.75" customHeight="1" x14ac:dyDescent="0.2">
      <c r="A66" s="20" t="s">
        <v>266</v>
      </c>
      <c r="B66" s="20"/>
      <c r="C66" s="20"/>
      <c r="D66" s="20"/>
      <c r="E66" s="20"/>
      <c r="F66" s="20"/>
      <c r="G66" s="20"/>
    </row>
    <row r="67" spans="1:7" ht="15.75" customHeight="1" x14ac:dyDescent="0.2">
      <c r="A67" s="21" t="s">
        <v>262</v>
      </c>
      <c r="B67" s="21"/>
    </row>
    <row r="68" spans="1:7" ht="15.75" customHeight="1" x14ac:dyDescent="0.2">
      <c r="A68" s="21" t="s">
        <v>263</v>
      </c>
      <c r="B68" s="21"/>
    </row>
    <row r="69" spans="1:7" ht="15.75" customHeight="1" x14ac:dyDescent="0.2">
      <c r="A69" s="21" t="s">
        <v>264</v>
      </c>
      <c r="B69" s="21"/>
    </row>
    <row r="70" spans="1:7" ht="15.75" customHeight="1" x14ac:dyDescent="0.2">
      <c r="A70" s="21" t="s">
        <v>265</v>
      </c>
      <c r="B70" s="21"/>
    </row>
  </sheetData>
  <mergeCells count="5">
    <mergeCell ref="A66:G66"/>
    <mergeCell ref="A67:B67"/>
    <mergeCell ref="A68:B68"/>
    <mergeCell ref="A69:B69"/>
    <mergeCell ref="A70:B70"/>
  </mergeCells>
  <conditionalFormatting sqref="E2:BZ63">
    <cfRule type="cellIs" dxfId="0" priority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zadavatele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Málková</dc:creator>
  <cp:lastModifiedBy>Monika Málková</cp:lastModifiedBy>
  <dcterms:created xsi:type="dcterms:W3CDTF">2025-05-30T06:59:01Z</dcterms:created>
  <dcterms:modified xsi:type="dcterms:W3CDTF">2025-06-16T07:19:10Z</dcterms:modified>
</cp:coreProperties>
</file>