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onom\Documents\Kateřina_Wolfová\Projekty\Terasa_2025\"/>
    </mc:Choice>
  </mc:AlternateContent>
  <xr:revisionPtr revIDLastSave="0" documentId="8_{08E1F542-7447-44AC-B9A5-82263D496873}" xr6:coauthVersionLast="36" xr6:coauthVersionMax="36" xr10:uidLastSave="{00000000-0000-0000-0000-000000000000}"/>
  <bookViews>
    <workbookView xWindow="-28905" yWindow="-105" windowWidth="29010" windowHeight="15810" xr2:uid="{00000000-000D-0000-FFFF-FFFF00000000}"/>
  </bookViews>
  <sheets>
    <sheet name="Krycí list rozpočtu" sheetId="3" r:id="rId1"/>
    <sheet name="Rozpočet - Jen podskupiny" sheetId="2" r:id="rId2"/>
    <sheet name="Stavební rozpočet-fólie" sheetId="1" r:id="rId3"/>
    <sheet name="Stavební rozpočet dlažby" sheetId="5" r:id="rId4"/>
    <sheet name="VORN" sheetId="4" state="hidden" r:id="rId5"/>
  </sheets>
  <definedNames>
    <definedName name="vorn_sum">VORN!$I$36</definedName>
  </definedNames>
  <calcPr calcId="191029"/>
</workbook>
</file>

<file path=xl/calcChain.xml><?xml version="1.0" encoding="utf-8"?>
<calcChain xmlns="http://schemas.openxmlformats.org/spreadsheetml/2006/main">
  <c r="I25" i="1" l="1"/>
  <c r="BC25" i="1"/>
  <c r="I20" i="5"/>
  <c r="BP21" i="5" l="1"/>
  <c r="BC21" i="5"/>
  <c r="AY21" i="5"/>
  <c r="AW21" i="5"/>
  <c r="AP21" i="5"/>
  <c r="AI21" i="5"/>
  <c r="BB21" i="5" s="1"/>
  <c r="AH21" i="5"/>
  <c r="BA21" i="5" s="1"/>
  <c r="AE21" i="5"/>
  <c r="AN19" i="5" s="1"/>
  <c r="AC21" i="5"/>
  <c r="AL19" i="5" s="1"/>
  <c r="AA21" i="5"/>
  <c r="Z21" i="5"/>
  <c r="Y21" i="5"/>
  <c r="X21" i="5"/>
  <c r="W21" i="5"/>
  <c r="V21" i="5"/>
  <c r="U21" i="5"/>
  <c r="S21" i="5"/>
  <c r="I21" i="5"/>
  <c r="I19" i="5" s="1"/>
  <c r="BC18" i="5"/>
  <c r="I18" i="5"/>
  <c r="BP17" i="5"/>
  <c r="BC17" i="5"/>
  <c r="AY17" i="5"/>
  <c r="AW17" i="5"/>
  <c r="AP17" i="5"/>
  <c r="AI17" i="5"/>
  <c r="BB17" i="5" s="1"/>
  <c r="V17" i="5" s="1"/>
  <c r="AH17" i="5"/>
  <c r="BA17" i="5" s="1"/>
  <c r="U17" i="5" s="1"/>
  <c r="AE17" i="5"/>
  <c r="AC17" i="5"/>
  <c r="AA17" i="5"/>
  <c r="Z17" i="5"/>
  <c r="Y17" i="5"/>
  <c r="X17" i="5"/>
  <c r="W17" i="5"/>
  <c r="S17" i="5"/>
  <c r="I17" i="5"/>
  <c r="AD17" i="5" s="1"/>
  <c r="AM16" i="5" s="1"/>
  <c r="AN16" i="5"/>
  <c r="AL16" i="5"/>
  <c r="I16" i="5"/>
  <c r="BP15" i="5"/>
  <c r="BC15" i="5"/>
  <c r="AY15" i="5"/>
  <c r="AW15" i="5"/>
  <c r="AI15" i="5"/>
  <c r="AQ15" i="5" s="1"/>
  <c r="AH15" i="5"/>
  <c r="AP15" i="5" s="1"/>
  <c r="AE15" i="5"/>
  <c r="AC15" i="5"/>
  <c r="AA15" i="5"/>
  <c r="Z15" i="5"/>
  <c r="Y15" i="5"/>
  <c r="X15" i="5"/>
  <c r="W15" i="5"/>
  <c r="S15" i="5"/>
  <c r="I15" i="5"/>
  <c r="AD15" i="5" s="1"/>
  <c r="BP14" i="5"/>
  <c r="BC14" i="5"/>
  <c r="AY14" i="5"/>
  <c r="AW14" i="5"/>
  <c r="AI14" i="5"/>
  <c r="AQ14" i="5" s="1"/>
  <c r="AH14" i="5"/>
  <c r="AP14" i="5" s="1"/>
  <c r="AE14" i="5"/>
  <c r="AC14" i="5"/>
  <c r="AA14" i="5"/>
  <c r="Z14" i="5"/>
  <c r="Y14" i="5"/>
  <c r="X14" i="5"/>
  <c r="W14" i="5"/>
  <c r="S14" i="5"/>
  <c r="I14" i="5"/>
  <c r="AD14" i="5" s="1"/>
  <c r="BP13" i="5"/>
  <c r="BC13" i="5"/>
  <c r="AY13" i="5"/>
  <c r="AW13" i="5"/>
  <c r="AI13" i="5"/>
  <c r="BB13" i="5" s="1"/>
  <c r="V13" i="5" s="1"/>
  <c r="AH13" i="5"/>
  <c r="BA13" i="5" s="1"/>
  <c r="U13" i="5" s="1"/>
  <c r="AE13" i="5"/>
  <c r="AC13" i="5"/>
  <c r="AA13" i="5"/>
  <c r="Z13" i="5"/>
  <c r="Y13" i="5"/>
  <c r="X13" i="5"/>
  <c r="W13" i="5"/>
  <c r="S13" i="5"/>
  <c r="I13" i="5"/>
  <c r="AD13" i="5" s="1"/>
  <c r="AL12" i="5"/>
  <c r="AN1" i="5"/>
  <c r="AM1" i="5"/>
  <c r="AL1" i="5"/>
  <c r="AO21" i="5" l="1"/>
  <c r="AQ21" i="5"/>
  <c r="AV21" i="5"/>
  <c r="AP13" i="5"/>
  <c r="AO13" i="5" s="1"/>
  <c r="AM12" i="5"/>
  <c r="AN12" i="5"/>
  <c r="AQ13" i="5"/>
  <c r="AV15" i="5"/>
  <c r="AO15" i="5"/>
  <c r="AV14" i="5"/>
  <c r="AO14" i="5"/>
  <c r="I12" i="5"/>
  <c r="BA14" i="5"/>
  <c r="U14" i="5" s="1"/>
  <c r="BA15" i="5"/>
  <c r="U15" i="5" s="1"/>
  <c r="AQ17" i="5"/>
  <c r="AO17" i="5" s="1"/>
  <c r="AD21" i="5"/>
  <c r="AM19" i="5" s="1"/>
  <c r="BB15" i="5"/>
  <c r="V15" i="5" s="1"/>
  <c r="BB14" i="5"/>
  <c r="V14" i="5" s="1"/>
  <c r="I35" i="4"/>
  <c r="I36" i="4" s="1"/>
  <c r="I24" i="3" s="1"/>
  <c r="I26" i="4"/>
  <c r="I25" i="4"/>
  <c r="I18" i="3" s="1"/>
  <c r="I24" i="4"/>
  <c r="I17" i="3" s="1"/>
  <c r="I23" i="4"/>
  <c r="I22" i="4"/>
  <c r="I15" i="3" s="1"/>
  <c r="I21" i="4"/>
  <c r="I17" i="4"/>
  <c r="I16" i="4"/>
  <c r="I15" i="4"/>
  <c r="I18" i="4" s="1"/>
  <c r="I10" i="4"/>
  <c r="F10" i="4"/>
  <c r="C10" i="4"/>
  <c r="F8" i="4"/>
  <c r="C8" i="4"/>
  <c r="F6" i="4"/>
  <c r="C6" i="4"/>
  <c r="F4" i="4"/>
  <c r="C4" i="4"/>
  <c r="F2" i="4"/>
  <c r="C2" i="4"/>
  <c r="I19" i="3"/>
  <c r="I16" i="3"/>
  <c r="F16" i="3"/>
  <c r="F15" i="3"/>
  <c r="C10" i="3"/>
  <c r="F8" i="3"/>
  <c r="C6" i="3"/>
  <c r="C4" i="3"/>
  <c r="C2" i="3"/>
  <c r="M13" i="2"/>
  <c r="M12" i="2"/>
  <c r="D8" i="2"/>
  <c r="H6" i="2"/>
  <c r="D6" i="2"/>
  <c r="D4" i="2"/>
  <c r="H2" i="2"/>
  <c r="D2" i="2"/>
  <c r="BP32" i="1"/>
  <c r="BC32" i="1"/>
  <c r="S32" i="1" s="1"/>
  <c r="AW32" i="1"/>
  <c r="AI32" i="1"/>
  <c r="BB32" i="1" s="1"/>
  <c r="AH32" i="1"/>
  <c r="AP32" i="1" s="1"/>
  <c r="AD32" i="1"/>
  <c r="AC32" i="1"/>
  <c r="AA32" i="1"/>
  <c r="Z32" i="1"/>
  <c r="Y32" i="1"/>
  <c r="X32" i="1"/>
  <c r="W32" i="1"/>
  <c r="V32" i="1"/>
  <c r="U32" i="1"/>
  <c r="AY32" i="1"/>
  <c r="I32" i="1"/>
  <c r="BP31" i="1"/>
  <c r="BC31" i="1"/>
  <c r="AW31" i="1"/>
  <c r="AI31" i="1"/>
  <c r="AH31" i="1"/>
  <c r="AD31" i="1"/>
  <c r="AC31" i="1"/>
  <c r="AA31" i="1"/>
  <c r="Z31" i="1"/>
  <c r="Y31" i="1"/>
  <c r="V31" i="1"/>
  <c r="U31" i="1"/>
  <c r="S31" i="1"/>
  <c r="AY31" i="1"/>
  <c r="I31" i="1"/>
  <c r="AE31" i="1" s="1"/>
  <c r="BP30" i="1"/>
  <c r="BC30" i="1"/>
  <c r="AW30" i="1"/>
  <c r="AI30" i="1"/>
  <c r="BB30" i="1" s="1"/>
  <c r="X30" i="1" s="1"/>
  <c r="AH30" i="1"/>
  <c r="AP30" i="1" s="1"/>
  <c r="AD30" i="1"/>
  <c r="AC30" i="1"/>
  <c r="AA30" i="1"/>
  <c r="Z30" i="1"/>
  <c r="Y30" i="1"/>
  <c r="V30" i="1"/>
  <c r="U30" i="1"/>
  <c r="S30" i="1"/>
  <c r="AY30" i="1"/>
  <c r="I30" i="1"/>
  <c r="BP29" i="1"/>
  <c r="BC29" i="1"/>
  <c r="AW29" i="1"/>
  <c r="AI29" i="1"/>
  <c r="AQ29" i="1" s="1"/>
  <c r="AH29" i="1"/>
  <c r="BA29" i="1" s="1"/>
  <c r="W29" i="1" s="1"/>
  <c r="AD29" i="1"/>
  <c r="AC29" i="1"/>
  <c r="AA29" i="1"/>
  <c r="Z29" i="1"/>
  <c r="Y29" i="1"/>
  <c r="V29" i="1"/>
  <c r="U29" i="1"/>
  <c r="S29" i="1"/>
  <c r="AY29" i="1"/>
  <c r="I29" i="1"/>
  <c r="AE29" i="1" s="1"/>
  <c r="BP28" i="1"/>
  <c r="BC28" i="1"/>
  <c r="AW28" i="1"/>
  <c r="AI28" i="1"/>
  <c r="BB28" i="1" s="1"/>
  <c r="X28" i="1" s="1"/>
  <c r="AH28" i="1"/>
  <c r="AP28" i="1" s="1"/>
  <c r="AD28" i="1"/>
  <c r="AC28" i="1"/>
  <c r="AA28" i="1"/>
  <c r="Z28" i="1"/>
  <c r="Y28" i="1"/>
  <c r="V28" i="1"/>
  <c r="U28" i="1"/>
  <c r="S28" i="1"/>
  <c r="AY28" i="1"/>
  <c r="I28" i="1"/>
  <c r="BP26" i="1"/>
  <c r="BC26" i="1"/>
  <c r="S26" i="1" s="1"/>
  <c r="AW26" i="1"/>
  <c r="AI26" i="1"/>
  <c r="AQ26" i="1" s="1"/>
  <c r="AH26" i="1"/>
  <c r="BA26" i="1" s="1"/>
  <c r="AD26" i="1"/>
  <c r="AC26" i="1"/>
  <c r="AA26" i="1"/>
  <c r="Z26" i="1"/>
  <c r="Y26" i="1"/>
  <c r="X26" i="1"/>
  <c r="W26" i="1"/>
  <c r="V26" i="1"/>
  <c r="U26" i="1"/>
  <c r="AY26" i="1"/>
  <c r="I26" i="1"/>
  <c r="AE26" i="1" s="1"/>
  <c r="BP24" i="1"/>
  <c r="BC24" i="1"/>
  <c r="S24" i="1" s="1"/>
  <c r="AW24" i="1"/>
  <c r="AI24" i="1"/>
  <c r="BB24" i="1" s="1"/>
  <c r="AH24" i="1"/>
  <c r="AP24" i="1" s="1"/>
  <c r="AD24" i="1"/>
  <c r="AC24" i="1"/>
  <c r="AA24" i="1"/>
  <c r="Z24" i="1"/>
  <c r="Y24" i="1"/>
  <c r="X24" i="1"/>
  <c r="W24" i="1"/>
  <c r="V24" i="1"/>
  <c r="U24" i="1"/>
  <c r="AY24" i="1"/>
  <c r="I24" i="1"/>
  <c r="BP23" i="1"/>
  <c r="BC23" i="1"/>
  <c r="AW23" i="1"/>
  <c r="AI23" i="1"/>
  <c r="BB23" i="1" s="1"/>
  <c r="X23" i="1" s="1"/>
  <c r="AH23" i="1"/>
  <c r="AD23" i="1"/>
  <c r="AC23" i="1"/>
  <c r="AA23" i="1"/>
  <c r="Z23" i="1"/>
  <c r="Y23" i="1"/>
  <c r="V23" i="1"/>
  <c r="U23" i="1"/>
  <c r="S23" i="1"/>
  <c r="AY23" i="1"/>
  <c r="I23" i="1"/>
  <c r="AE23" i="1" s="1"/>
  <c r="BP22" i="1"/>
  <c r="BC22" i="1"/>
  <c r="AW22" i="1"/>
  <c r="AI22" i="1"/>
  <c r="BB22" i="1" s="1"/>
  <c r="X22" i="1" s="1"/>
  <c r="AH22" i="1"/>
  <c r="AP22" i="1" s="1"/>
  <c r="AD22" i="1"/>
  <c r="AC22" i="1"/>
  <c r="AA22" i="1"/>
  <c r="Z22" i="1"/>
  <c r="Y22" i="1"/>
  <c r="V22" i="1"/>
  <c r="U22" i="1"/>
  <c r="S22" i="1"/>
  <c r="AY22" i="1"/>
  <c r="I22" i="1"/>
  <c r="BP21" i="1"/>
  <c r="BC21" i="1"/>
  <c r="AW21" i="1"/>
  <c r="AI21" i="1"/>
  <c r="BB21" i="1" s="1"/>
  <c r="X21" i="1" s="1"/>
  <c r="AH21" i="1"/>
  <c r="BA21" i="1" s="1"/>
  <c r="W21" i="1" s="1"/>
  <c r="AD21" i="1"/>
  <c r="AC21" i="1"/>
  <c r="AA21" i="1"/>
  <c r="Z21" i="1"/>
  <c r="Y21" i="1"/>
  <c r="V21" i="1"/>
  <c r="U21" i="1"/>
  <c r="S21" i="1"/>
  <c r="AY21" i="1"/>
  <c r="I21" i="1"/>
  <c r="AE21" i="1" s="1"/>
  <c r="BP20" i="1"/>
  <c r="BC20" i="1"/>
  <c r="AW20" i="1"/>
  <c r="AI20" i="1"/>
  <c r="BB20" i="1" s="1"/>
  <c r="X20" i="1" s="1"/>
  <c r="AH20" i="1"/>
  <c r="AP20" i="1" s="1"/>
  <c r="AD20" i="1"/>
  <c r="AC20" i="1"/>
  <c r="AA20" i="1"/>
  <c r="Z20" i="1"/>
  <c r="Y20" i="1"/>
  <c r="V20" i="1"/>
  <c r="U20" i="1"/>
  <c r="S20" i="1"/>
  <c r="AY20" i="1"/>
  <c r="I20" i="1"/>
  <c r="BP19" i="1"/>
  <c r="BC19" i="1"/>
  <c r="AW19" i="1"/>
  <c r="AI19" i="1"/>
  <c r="AQ19" i="1" s="1"/>
  <c r="AH19" i="1"/>
  <c r="BA19" i="1" s="1"/>
  <c r="W19" i="1" s="1"/>
  <c r="AD19" i="1"/>
  <c r="AC19" i="1"/>
  <c r="AA19" i="1"/>
  <c r="Z19" i="1"/>
  <c r="Y19" i="1"/>
  <c r="V19" i="1"/>
  <c r="U19" i="1"/>
  <c r="S19" i="1"/>
  <c r="AY19" i="1"/>
  <c r="I19" i="1"/>
  <c r="AE19" i="1" s="1"/>
  <c r="BP18" i="1"/>
  <c r="BC18" i="1"/>
  <c r="AW18" i="1"/>
  <c r="AI18" i="1"/>
  <c r="BB18" i="1" s="1"/>
  <c r="X18" i="1" s="1"/>
  <c r="AH18" i="1"/>
  <c r="AP18" i="1" s="1"/>
  <c r="AD18" i="1"/>
  <c r="AC18" i="1"/>
  <c r="AA18" i="1"/>
  <c r="Z18" i="1"/>
  <c r="Y18" i="1"/>
  <c r="V18" i="1"/>
  <c r="U18" i="1"/>
  <c r="S18" i="1"/>
  <c r="AY18" i="1"/>
  <c r="I18" i="1"/>
  <c r="BP17" i="1"/>
  <c r="BC17" i="1"/>
  <c r="AW17" i="1"/>
  <c r="AI17" i="1"/>
  <c r="AH17" i="1"/>
  <c r="BA17" i="1" s="1"/>
  <c r="W17" i="1" s="1"/>
  <c r="AD17" i="1"/>
  <c r="AC17" i="1"/>
  <c r="AA17" i="1"/>
  <c r="Z17" i="1"/>
  <c r="Y17" i="1"/>
  <c r="V17" i="1"/>
  <c r="U17" i="1"/>
  <c r="S17" i="1"/>
  <c r="AY17" i="1"/>
  <c r="I17" i="1"/>
  <c r="AE17" i="1" s="1"/>
  <c r="BP16" i="1"/>
  <c r="BC16" i="1"/>
  <c r="AW16" i="1"/>
  <c r="AI16" i="1"/>
  <c r="BB16" i="1" s="1"/>
  <c r="X16" i="1" s="1"/>
  <c r="AH16" i="1"/>
  <c r="AP16" i="1" s="1"/>
  <c r="AD16" i="1"/>
  <c r="AC16" i="1"/>
  <c r="AA16" i="1"/>
  <c r="Z16" i="1"/>
  <c r="Y16" i="1"/>
  <c r="V16" i="1"/>
  <c r="U16" i="1"/>
  <c r="S16" i="1"/>
  <c r="AY16" i="1"/>
  <c r="I16" i="1"/>
  <c r="BP15" i="1"/>
  <c r="BC15" i="1"/>
  <c r="AW15" i="1"/>
  <c r="AI15" i="1"/>
  <c r="AQ15" i="1" s="1"/>
  <c r="AH15" i="1"/>
  <c r="BA15" i="1" s="1"/>
  <c r="W15" i="1" s="1"/>
  <c r="AD15" i="1"/>
  <c r="AC15" i="1"/>
  <c r="AA15" i="1"/>
  <c r="Z15" i="1"/>
  <c r="Y15" i="1"/>
  <c r="V15" i="1"/>
  <c r="U15" i="1"/>
  <c r="S15" i="1"/>
  <c r="AY15" i="1"/>
  <c r="I15" i="1"/>
  <c r="AE15" i="1" s="1"/>
  <c r="BP14" i="1"/>
  <c r="BC14" i="1"/>
  <c r="AW14" i="1"/>
  <c r="AI14" i="1"/>
  <c r="BB14" i="1" s="1"/>
  <c r="X14" i="1" s="1"/>
  <c r="AH14" i="1"/>
  <c r="AP14" i="1" s="1"/>
  <c r="AD14" i="1"/>
  <c r="AC14" i="1"/>
  <c r="AA14" i="1"/>
  <c r="Z14" i="1"/>
  <c r="Y14" i="1"/>
  <c r="V14" i="1"/>
  <c r="U14" i="1"/>
  <c r="S14" i="1"/>
  <c r="I14" i="1"/>
  <c r="BP13" i="1"/>
  <c r="BC13" i="1"/>
  <c r="AW13" i="1"/>
  <c r="AI13" i="1"/>
  <c r="BB13" i="1" s="1"/>
  <c r="X13" i="1" s="1"/>
  <c r="AH13" i="1"/>
  <c r="BA13" i="1" s="1"/>
  <c r="W13" i="1" s="1"/>
  <c r="AD13" i="1"/>
  <c r="AC13" i="1"/>
  <c r="AA13" i="1"/>
  <c r="Z13" i="1"/>
  <c r="Y13" i="1"/>
  <c r="V13" i="1"/>
  <c r="U13" i="1"/>
  <c r="S13" i="1"/>
  <c r="AY13" i="1"/>
  <c r="I13" i="1"/>
  <c r="AE13" i="1" s="1"/>
  <c r="AN1" i="1"/>
  <c r="AM1" i="1"/>
  <c r="AL1" i="1"/>
  <c r="C18" i="3" l="1"/>
  <c r="AV17" i="5"/>
  <c r="AV13" i="5"/>
  <c r="AM27" i="1"/>
  <c r="AQ32" i="1"/>
  <c r="AV32" i="1" s="1"/>
  <c r="I27" i="4"/>
  <c r="AQ18" i="1"/>
  <c r="AV18" i="1" s="1"/>
  <c r="C20" i="3"/>
  <c r="AQ14" i="1"/>
  <c r="AO14" i="1" s="1"/>
  <c r="AQ28" i="1"/>
  <c r="AO28" i="1" s="1"/>
  <c r="AL12" i="1"/>
  <c r="AQ20" i="1"/>
  <c r="AV20" i="1" s="1"/>
  <c r="AM12" i="1"/>
  <c r="C27" i="3"/>
  <c r="C14" i="3"/>
  <c r="AQ22" i="1"/>
  <c r="AO22" i="1" s="1"/>
  <c r="AQ30" i="1"/>
  <c r="AO30" i="1" s="1"/>
  <c r="C15" i="3"/>
  <c r="C19" i="3"/>
  <c r="AQ16" i="1"/>
  <c r="AO16" i="1" s="1"/>
  <c r="AQ24" i="1"/>
  <c r="AO24" i="1" s="1"/>
  <c r="AL27" i="1"/>
  <c r="I22" i="3"/>
  <c r="AO18" i="1"/>
  <c r="F29" i="4"/>
  <c r="BB26" i="1"/>
  <c r="AP13" i="1"/>
  <c r="AE14" i="1"/>
  <c r="AY14" i="1"/>
  <c r="AP15" i="1"/>
  <c r="AE16" i="1"/>
  <c r="AP17" i="1"/>
  <c r="AE18" i="1"/>
  <c r="AP19" i="1"/>
  <c r="AE20" i="1"/>
  <c r="AP21" i="1"/>
  <c r="AE22" i="1"/>
  <c r="AP23" i="1"/>
  <c r="AE24" i="1"/>
  <c r="AP26" i="1"/>
  <c r="AE28" i="1"/>
  <c r="AP29" i="1"/>
  <c r="AE30" i="1"/>
  <c r="AP31" i="1"/>
  <c r="AE32" i="1"/>
  <c r="BA31" i="1"/>
  <c r="W31" i="1" s="1"/>
  <c r="BB15" i="1"/>
  <c r="X15" i="1" s="1"/>
  <c r="BB17" i="1"/>
  <c r="X17" i="1" s="1"/>
  <c r="BB19" i="1"/>
  <c r="X19" i="1" s="1"/>
  <c r="BB29" i="1"/>
  <c r="X29" i="1" s="1"/>
  <c r="AQ13" i="1"/>
  <c r="BA16" i="1"/>
  <c r="W16" i="1" s="1"/>
  <c r="AQ17" i="1"/>
  <c r="BA18" i="1"/>
  <c r="W18" i="1" s="1"/>
  <c r="BA20" i="1"/>
  <c r="W20" i="1" s="1"/>
  <c r="AQ21" i="1"/>
  <c r="BA22" i="1"/>
  <c r="W22" i="1" s="1"/>
  <c r="AQ23" i="1"/>
  <c r="BA24" i="1"/>
  <c r="BA28" i="1"/>
  <c r="W28" i="1" s="1"/>
  <c r="BA30" i="1"/>
  <c r="W30" i="1" s="1"/>
  <c r="AQ31" i="1"/>
  <c r="BA32" i="1"/>
  <c r="BA23" i="1"/>
  <c r="W23" i="1" s="1"/>
  <c r="I12" i="1"/>
  <c r="BB31" i="1"/>
  <c r="X31" i="1" s="1"/>
  <c r="BA14" i="1"/>
  <c r="W14" i="1" s="1"/>
  <c r="I27" i="1"/>
  <c r="I13" i="2" s="1"/>
  <c r="F14" i="3"/>
  <c r="F22" i="3" s="1"/>
  <c r="AO32" i="1" l="1"/>
  <c r="K13" i="2"/>
  <c r="AV14" i="1"/>
  <c r="AO20" i="1"/>
  <c r="AV22" i="1"/>
  <c r="AN27" i="1"/>
  <c r="AV28" i="1"/>
  <c r="AV24" i="1"/>
  <c r="AN12" i="1"/>
  <c r="AV30" i="1"/>
  <c r="AV16" i="1"/>
  <c r="AO29" i="1"/>
  <c r="AV29" i="1"/>
  <c r="AO26" i="1"/>
  <c r="AV26" i="1"/>
  <c r="AO19" i="1"/>
  <c r="AV19" i="1"/>
  <c r="AV31" i="1"/>
  <c r="AO31" i="1"/>
  <c r="AV21" i="1"/>
  <c r="AO21" i="1"/>
  <c r="AO23" i="1"/>
  <c r="AV23" i="1"/>
  <c r="AO13" i="1"/>
  <c r="AV13" i="1"/>
  <c r="AV15" i="1"/>
  <c r="AO15" i="1"/>
  <c r="I12" i="2"/>
  <c r="K12" i="2" s="1"/>
  <c r="I33" i="1"/>
  <c r="AV17" i="1"/>
  <c r="AO17" i="1"/>
  <c r="I22" i="5"/>
  <c r="I14" i="2" s="1"/>
  <c r="I15" i="2" s="1"/>
  <c r="C22" i="3" s="1"/>
  <c r="C28" i="3" s="1"/>
  <c r="F28" i="3" s="1"/>
  <c r="F29" i="3" l="1"/>
  <c r="I28" i="3"/>
  <c r="I29" i="3" l="1"/>
</calcChain>
</file>

<file path=xl/sharedStrings.xml><?xml version="1.0" encoding="utf-8"?>
<sst xmlns="http://schemas.openxmlformats.org/spreadsheetml/2006/main" count="609" uniqueCount="203">
  <si>
    <t>Stavební rozpočet</t>
  </si>
  <si>
    <t>Název stavby:</t>
  </si>
  <si>
    <t>Doba výstavby:</t>
  </si>
  <si>
    <t xml:space="preserve"> </t>
  </si>
  <si>
    <t>Objednatel:</t>
  </si>
  <si>
    <t>Druh stavby:</t>
  </si>
  <si>
    <t>Začátek výstavby:</t>
  </si>
  <si>
    <t>Projektant:</t>
  </si>
  <si>
    <t>Lokalita:</t>
  </si>
  <si>
    <t>Konec výstavby:</t>
  </si>
  <si>
    <t>Zhotovitel:</t>
  </si>
  <si>
    <t>JKSO:</t>
  </si>
  <si>
    <t>Zpracováno dne:</t>
  </si>
  <si>
    <t>Zpracoval:</t>
  </si>
  <si>
    <t>Č</t>
  </si>
  <si>
    <t>Objekt</t>
  </si>
  <si>
    <t>Kód</t>
  </si>
  <si>
    <t>Zkrácený popis</t>
  </si>
  <si>
    <t>MJ</t>
  </si>
  <si>
    <t>Množství</t>
  </si>
  <si>
    <t>Cena/MJ</t>
  </si>
  <si>
    <t>ISWORK</t>
  </si>
  <si>
    <t>GROUPCODE</t>
  </si>
  <si>
    <t>VATTAX</t>
  </si>
  <si>
    <t>Rozměry</t>
  </si>
  <si>
    <t>(Kč)</t>
  </si>
  <si>
    <t>Montáž</t>
  </si>
  <si>
    <t>Celkem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</si>
  <si>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</si>
  <si>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</si>
  <si>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</si>
  <si>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</si>
  <si>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</si>
  <si>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</si>
  <si>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</si>
  <si>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</si>
  <si>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</si>
  <si>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</si>
  <si>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</si>
  <si>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</si>
  <si>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/>
  </si>
  <si>
    <t>712</t>
  </si>
  <si>
    <t>Izolace střech (živičné krytiny)</t>
  </si>
  <si>
    <t>1</t>
  </si>
  <si>
    <t>712300831R00</t>
  </si>
  <si>
    <t>Odstranění povlakové krytiny střech do 10</t>
  </si>
  <si>
    <t>m2</t>
  </si>
  <si>
    <t>7</t>
  </si>
  <si>
    <t>712_</t>
  </si>
  <si>
    <t>71_</t>
  </si>
  <si>
    <t>_</t>
  </si>
  <si>
    <t>P</t>
  </si>
  <si>
    <t>2</t>
  </si>
  <si>
    <t>712371801R00</t>
  </si>
  <si>
    <t>Provedení povlakové krytiny střech do 10°, fólií PVC</t>
  </si>
  <si>
    <t>3</t>
  </si>
  <si>
    <t>712391171R00</t>
  </si>
  <si>
    <t>Položení podkladní textilie na střechách do 10°</t>
  </si>
  <si>
    <t>4</t>
  </si>
  <si>
    <t>71234899R00</t>
  </si>
  <si>
    <t>Vyspravení parotěsné vrstvy</t>
  </si>
  <si>
    <t>5</t>
  </si>
  <si>
    <t>712999R</t>
  </si>
  <si>
    <t>Montáž spojovací materiál - kotvení</t>
  </si>
  <si>
    <t>kpl</t>
  </si>
  <si>
    <t>6</t>
  </si>
  <si>
    <t>62852265</t>
  </si>
  <si>
    <t>Pás asfaltový modifikovaný GLASTEK 40 SPECIAL mineral</t>
  </si>
  <si>
    <t>M</t>
  </si>
  <si>
    <t>67313125</t>
  </si>
  <si>
    <t>Geotek N 300</t>
  </si>
  <si>
    <t>8</t>
  </si>
  <si>
    <t>283220012</t>
  </si>
  <si>
    <t>Fólie hydroizolační PVC-P, DEKPLAN UNI t3 tl. 1,5 mm, střešní</t>
  </si>
  <si>
    <t>9</t>
  </si>
  <si>
    <t>5534</t>
  </si>
  <si>
    <t>Kotvení - spojovací materiál</t>
  </si>
  <si>
    <t>10</t>
  </si>
  <si>
    <t>712378007R00</t>
  </si>
  <si>
    <t>D+M koutová lišta vnitřní VIPLANYL</t>
  </si>
  <si>
    <t>m</t>
  </si>
  <si>
    <t>11</t>
  </si>
  <si>
    <t>712378008R00</t>
  </si>
  <si>
    <t>D+M dilatační lišta  VIPLANYL</t>
  </si>
  <si>
    <t>12</t>
  </si>
  <si>
    <t>998712202R00</t>
  </si>
  <si>
    <t>Přesun hmot, doprava, režijní výdaje</t>
  </si>
  <si>
    <t>979981101R00</t>
  </si>
  <si>
    <t>Kontejner  odvoz a likvidace, suti</t>
  </si>
  <si>
    <t>m3</t>
  </si>
  <si>
    <t>713</t>
  </si>
  <si>
    <t>Izolace tepelné</t>
  </si>
  <si>
    <t>713104211R00</t>
  </si>
  <si>
    <t>Odstranění tepelné izolace střech plochých</t>
  </si>
  <si>
    <t>713_</t>
  </si>
  <si>
    <t>283757490</t>
  </si>
  <si>
    <t>Deska izolační EPS 150,  tl. 100 mm</t>
  </si>
  <si>
    <t>713141323R00</t>
  </si>
  <si>
    <t>Montáž tepelné izolace střech do tl. 200 mm, 2 vrstvy,</t>
  </si>
  <si>
    <t>23521R</t>
  </si>
  <si>
    <t>Lepidlo</t>
  </si>
  <si>
    <t>kc</t>
  </si>
  <si>
    <t>998713202R00</t>
  </si>
  <si>
    <t>Přesun hmot ,doprava spoj.mat., režijní výdaje</t>
  </si>
  <si>
    <t>Poznámka:</t>
  </si>
  <si>
    <t>Stavební rozpočet - Jen podskupiny</t>
  </si>
  <si>
    <t>T</t>
  </si>
  <si>
    <t>Krycí list rozpočtu</t>
  </si>
  <si>
    <t>IČO/DIČ: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</si>
  <si>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</si>
  <si>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</si>
  <si>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</si>
  <si>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</si>
  <si>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</si>
  <si>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</si>
  <si>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</si>
  <si>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</si>
  <si>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</si>
  <si>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</si>
  <si>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</si>
  <si>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</si>
  <si>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</si>
  <si>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</si>
  <si>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</si>
  <si>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</si>
  <si>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</si>
  <si>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</si>
  <si>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</si>
  <si>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</si>
  <si>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</si>
  <si>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</si>
  <si>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</si>
  <si>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</si>
  <si>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</si>
  <si>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</si>
  <si>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</si>
  <si>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</si>
  <si>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</si>
  <si>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</si>
  <si>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</si>
  <si>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</si>
  <si>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</si>
  <si>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</si>
  <si>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</si>
  <si>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</si>
  <si>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</si>
  <si>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</si>
  <si>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</si>
  <si>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</si>
  <si>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</si>
  <si>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</si>
  <si>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</si>
  <si>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</si>
  <si>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</si>
  <si>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</si>
  <si>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</si>
  <si>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</si>
  <si>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</si>
  <si>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</si>
  <si>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</si>
  <si>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Ostatní rozpočtové náklady ORN</t>
  </si>
  <si>
    <t>Ostatní rozpočtové náklady (ORN)</t>
  </si>
  <si>
    <t>Celkem ORN</t>
  </si>
  <si>
    <t>Terasa -  Zelený dům pohody</t>
  </si>
  <si>
    <t>63</t>
  </si>
  <si>
    <t>Podlahy a podlahové konstrukce</t>
  </si>
  <si>
    <t>632922952RT3</t>
  </si>
  <si>
    <t>Kladení dlaždic  na stavitel. terče plast</t>
  </si>
  <si>
    <t>63_</t>
  </si>
  <si>
    <t>6_</t>
  </si>
  <si>
    <t>Kladení dlaždic 40x40 cm na stavitel. terče plast., výškově stavitelné podstavce</t>
  </si>
  <si>
    <t>632922991R00</t>
  </si>
  <si>
    <t>Kladení dlaždic na terče - čelní  lišta</t>
  </si>
  <si>
    <t>Kladení dlaždic na terče, čelní  lišta</t>
  </si>
  <si>
    <t>5924798340</t>
  </si>
  <si>
    <t xml:space="preserve">Dlažba </t>
  </si>
  <si>
    <t>Dlažba 400 x 400</t>
  </si>
  <si>
    <t>95</t>
  </si>
  <si>
    <t>Různé dokončovací konstrukce a práce na pozemních stavbách</t>
  </si>
  <si>
    <t>952902110R</t>
  </si>
  <si>
    <t>Příprava, zametání , úklid,…</t>
  </si>
  <si>
    <t>95_</t>
  </si>
  <si>
    <t>9_</t>
  </si>
  <si>
    <t>Zametání a úklid</t>
  </si>
  <si>
    <t>HZS nezměřitelné práce</t>
  </si>
  <si>
    <t>hod</t>
  </si>
  <si>
    <t>H99</t>
  </si>
  <si>
    <t>Ostatní přesuny hmot</t>
  </si>
  <si>
    <t>999281111R00</t>
  </si>
  <si>
    <t>Přesun hmot pro opravy a údržbu do výšky 25 m</t>
  </si>
  <si>
    <t>t</t>
  </si>
  <si>
    <t>H99_</t>
  </si>
  <si>
    <t>ks</t>
  </si>
  <si>
    <t>Vyčištění střechy</t>
  </si>
  <si>
    <t>Venkovní římsa není naceněna, taktéž střešní vpustě.</t>
  </si>
  <si>
    <t>Přesun hmot</t>
  </si>
  <si>
    <t>Doprava spoj.mat.</t>
  </si>
  <si>
    <t>Pás asfaltový modifikovaný,  mineral</t>
  </si>
  <si>
    <t>Fólie hydroizolační PVC- tl. 1,5 mm, střešní</t>
  </si>
  <si>
    <t xml:space="preserve">D+M koutová lišta vnitřní </t>
  </si>
  <si>
    <t xml:space="preserve">D+M dilatační lišta </t>
  </si>
  <si>
    <t>Geotextílie N 300</t>
  </si>
  <si>
    <t>Terasa - Zelený dům pohody Hodonín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</si>
</sst>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charset val="1"/>
    </font>
    <font>
      <sz val="18"/>
      <color rgb="FF000000"/>
      <name val="Arial"/>
      <charset val="238"/>
    </font>
    <font>
      <b/>
      <sz val="10"/>
      <color rgb="FF000000"/>
      <name val="Arial"/>
      <charset val="238"/>
    </font>
    <font>
      <sz val="10"/>
      <color rgb="FF000000"/>
      <name val="Arial"/>
      <charset val="238"/>
    </font>
    <font>
      <i/>
      <sz val="8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8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4" fontId="2" fillId="2" borderId="0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9" xfId="0" applyNumberFormat="1" applyFont="1" applyFill="1" applyBorder="1" applyAlignment="1" applyProtection="1">
      <alignment horizontal="left" vertical="center"/>
    </xf>
    <xf numFmtId="0" fontId="3" fillId="0" borderId="20" xfId="0" applyNumberFormat="1" applyFont="1" applyFill="1" applyBorder="1" applyAlignment="1" applyProtection="1">
      <alignment horizontal="left" vertical="center"/>
    </xf>
    <xf numFmtId="0" fontId="2" fillId="0" borderId="23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3" fillId="2" borderId="26" xfId="0" applyNumberFormat="1" applyFont="1" applyFill="1" applyBorder="1" applyAlignment="1" applyProtection="1">
      <alignment horizontal="left" vertical="center"/>
    </xf>
    <xf numFmtId="0" fontId="2" fillId="2" borderId="27" xfId="0" applyNumberFormat="1" applyFont="1" applyFill="1" applyBorder="1" applyAlignment="1" applyProtection="1">
      <alignment horizontal="left" vertical="center"/>
    </xf>
    <xf numFmtId="0" fontId="3" fillId="2" borderId="27" xfId="0" applyNumberFormat="1" applyFont="1" applyFill="1" applyBorder="1" applyAlignment="1" applyProtection="1">
      <alignment horizontal="left" vertical="center"/>
    </xf>
    <xf numFmtId="4" fontId="2" fillId="2" borderId="27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2" borderId="5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0" borderId="28" xfId="0" applyNumberFormat="1" applyFont="1" applyFill="1" applyBorder="1" applyAlignment="1" applyProtection="1">
      <alignment horizontal="left" vertical="center"/>
    </xf>
    <xf numFmtId="0" fontId="3" fillId="0" borderId="29" xfId="0" applyNumberFormat="1" applyFont="1" applyFill="1" applyBorder="1" applyAlignment="1" applyProtection="1">
      <alignment horizontal="left" vertical="center"/>
    </xf>
    <xf numFmtId="4" fontId="3" fillId="0" borderId="29" xfId="0" applyNumberFormat="1" applyFont="1" applyFill="1" applyBorder="1" applyAlignment="1" applyProtection="1">
      <alignment horizontal="right" vertical="center"/>
    </xf>
    <xf numFmtId="4" fontId="2" fillId="0" borderId="3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3" fillId="0" borderId="18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3" fillId="0" borderId="35" xfId="0" applyNumberFormat="1" applyFont="1" applyFill="1" applyBorder="1" applyAlignment="1" applyProtection="1">
      <alignment horizontal="right" vertical="center"/>
    </xf>
    <xf numFmtId="0" fontId="6" fillId="2" borderId="37" xfId="0" applyNumberFormat="1" applyFont="1" applyFill="1" applyBorder="1" applyAlignment="1" applyProtection="1">
      <alignment horizontal="center" vertical="center"/>
    </xf>
    <xf numFmtId="0" fontId="6" fillId="2" borderId="40" xfId="0" applyNumberFormat="1" applyFont="1" applyFill="1" applyBorder="1" applyAlignment="1" applyProtection="1">
      <alignment horizontal="center" vertical="center"/>
    </xf>
    <xf numFmtId="0" fontId="8" fillId="0" borderId="41" xfId="0" applyNumberFormat="1" applyFont="1" applyFill="1" applyBorder="1" applyAlignment="1" applyProtection="1">
      <alignment horizontal="left" vertical="center"/>
    </xf>
    <xf numFmtId="0" fontId="9" fillId="0" borderId="42" xfId="0" applyNumberFormat="1" applyFont="1" applyFill="1" applyBorder="1" applyAlignment="1" applyProtection="1">
      <alignment horizontal="left" vertical="center"/>
    </xf>
    <xf numFmtId="4" fontId="9" fillId="0" borderId="42" xfId="0" applyNumberFormat="1" applyFont="1" applyFill="1" applyBorder="1" applyAlignment="1" applyProtection="1">
      <alignment horizontal="right" vertical="center"/>
    </xf>
    <xf numFmtId="0" fontId="8" fillId="0" borderId="45" xfId="0" applyNumberFormat="1" applyFont="1" applyFill="1" applyBorder="1" applyAlignment="1" applyProtection="1">
      <alignment horizontal="left" vertical="center"/>
    </xf>
    <xf numFmtId="0" fontId="9" fillId="0" borderId="42" xfId="0" applyNumberFormat="1" applyFont="1" applyFill="1" applyBorder="1" applyAlignment="1" applyProtection="1">
      <alignment horizontal="right" vertical="center"/>
    </xf>
    <xf numFmtId="4" fontId="9" fillId="0" borderId="49" xfId="0" applyNumberFormat="1" applyFont="1" applyFill="1" applyBorder="1" applyAlignment="1" applyProtection="1">
      <alignment horizontal="right" vertical="center"/>
    </xf>
    <xf numFmtId="0" fontId="9" fillId="0" borderId="49" xfId="0" applyNumberFormat="1" applyFont="1" applyFill="1" applyBorder="1" applyAlignment="1" applyProtection="1">
      <alignment horizontal="right" vertical="center"/>
    </xf>
    <xf numFmtId="4" fontId="9" fillId="0" borderId="40" xfId="0" applyNumberFormat="1" applyFont="1" applyFill="1" applyBorder="1" applyAlignment="1" applyProtection="1">
      <alignment horizontal="right" vertical="center"/>
    </xf>
    <xf numFmtId="4" fontId="9" fillId="0" borderId="24" xfId="0" applyNumberFormat="1" applyFont="1" applyFill="1" applyBorder="1" applyAlignment="1" applyProtection="1">
      <alignment horizontal="right" vertical="center"/>
    </xf>
    <xf numFmtId="4" fontId="8" fillId="2" borderId="39" xfId="0" applyNumberFormat="1" applyFont="1" applyFill="1" applyBorder="1" applyAlignment="1" applyProtection="1">
      <alignment horizontal="right" vertical="center"/>
    </xf>
    <xf numFmtId="4" fontId="8" fillId="2" borderId="44" xfId="0" applyNumberFormat="1" applyFont="1" applyFill="1" applyBorder="1" applyAlignment="1" applyProtection="1">
      <alignment horizontal="right" vertical="center"/>
    </xf>
    <xf numFmtId="0" fontId="4" fillId="0" borderId="27" xfId="0" applyNumberFormat="1" applyFont="1" applyFill="1" applyBorder="1" applyAlignment="1" applyProtection="1">
      <alignment horizontal="left" vertical="center"/>
    </xf>
    <xf numFmtId="0" fontId="2" fillId="0" borderId="17" xfId="0" applyNumberFormat="1" applyFont="1" applyFill="1" applyBorder="1" applyAlignment="1" applyProtection="1">
      <alignment horizontal="right" vertical="center"/>
    </xf>
    <xf numFmtId="4" fontId="3" fillId="0" borderId="42" xfId="0" applyNumberFormat="1" applyFont="1" applyFill="1" applyBorder="1" applyAlignment="1" applyProtection="1">
      <alignment horizontal="right" vertical="center"/>
    </xf>
    <xf numFmtId="0" fontId="3" fillId="0" borderId="42" xfId="0" applyNumberFormat="1" applyFont="1" applyFill="1" applyBorder="1" applyAlignment="1" applyProtection="1">
      <alignment horizontal="left" vertical="center"/>
    </xf>
    <xf numFmtId="4" fontId="3" fillId="0" borderId="66" xfId="0" applyNumberFormat="1" applyFont="1" applyFill="1" applyBorder="1" applyAlignment="1" applyProtection="1">
      <alignment horizontal="right" vertical="center"/>
    </xf>
    <xf numFmtId="0" fontId="3" fillId="0" borderId="66" xfId="0" applyNumberFormat="1" applyFont="1" applyFill="1" applyBorder="1" applyAlignment="1" applyProtection="1">
      <alignment horizontal="left" vertical="center"/>
    </xf>
    <xf numFmtId="0" fontId="2" fillId="0" borderId="70" xfId="0" applyNumberFormat="1" applyFont="1" applyFill="1" applyBorder="1" applyAlignment="1" applyProtection="1">
      <alignment horizontal="left" vertical="center"/>
    </xf>
    <xf numFmtId="0" fontId="2" fillId="0" borderId="70" xfId="0" applyNumberFormat="1" applyFont="1" applyFill="1" applyBorder="1" applyAlignment="1" applyProtection="1">
      <alignment horizontal="right" vertical="center"/>
    </xf>
    <xf numFmtId="4" fontId="2" fillId="0" borderId="7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63" xfId="0" applyNumberFormat="1" applyFont="1" applyFill="1" applyBorder="1" applyAlignment="1" applyProtection="1">
      <alignment horizontal="left" vertical="center"/>
    </xf>
    <xf numFmtId="0" fontId="3" fillId="0" borderId="64" xfId="0" applyNumberFormat="1" applyFont="1" applyFill="1" applyBorder="1" applyAlignment="1" applyProtection="1">
      <alignment horizontal="left" vertical="center"/>
    </xf>
    <xf numFmtId="4" fontId="2" fillId="2" borderId="64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64" xfId="0" applyFont="1" applyFill="1" applyBorder="1" applyAlignment="1">
      <alignment horizontal="right" vertical="center"/>
    </xf>
    <xf numFmtId="0" fontId="2" fillId="0" borderId="64" xfId="0" applyFont="1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2" fillId="0" borderId="6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3" fillId="2" borderId="63" xfId="0" applyFont="1" applyFill="1" applyBorder="1" applyAlignment="1">
      <alignment horizontal="left" vertical="center"/>
    </xf>
    <xf numFmtId="0" fontId="2" fillId="2" borderId="64" xfId="0" applyFont="1" applyFill="1" applyBorder="1" applyAlignment="1">
      <alignment horizontal="left" vertical="center"/>
    </xf>
    <xf numFmtId="0" fontId="3" fillId="2" borderId="64" xfId="0" applyFont="1" applyFill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4" fontId="3" fillId="0" borderId="64" xfId="0" applyNumberFormat="1" applyFont="1" applyBorder="1" applyAlignment="1">
      <alignment horizontal="right" vertical="center"/>
    </xf>
    <xf numFmtId="0" fontId="3" fillId="0" borderId="64" xfId="0" applyFont="1" applyBorder="1" applyAlignment="1">
      <alignment horizontal="right" vertical="center"/>
    </xf>
    <xf numFmtId="0" fontId="3" fillId="0" borderId="64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4" fontId="3" fillId="0" borderId="53" xfId="0" applyNumberFormat="1" applyFont="1" applyBorder="1" applyAlignment="1">
      <alignment horizontal="right" vertical="center"/>
    </xf>
    <xf numFmtId="4" fontId="2" fillId="0" borderId="64" xfId="0" applyNumberFormat="1" applyFont="1" applyBorder="1" applyAlignment="1">
      <alignment horizontal="right" vertical="center"/>
    </xf>
    <xf numFmtId="0" fontId="4" fillId="0" borderId="64" xfId="0" applyFont="1" applyBorder="1" applyAlignment="1">
      <alignment horizontal="left" vertical="center"/>
    </xf>
    <xf numFmtId="4" fontId="3" fillId="0" borderId="64" xfId="0" applyNumberFormat="1" applyFont="1" applyFill="1" applyBorder="1" applyAlignment="1" applyProtection="1">
      <alignment horizontal="right" vertical="center"/>
    </xf>
    <xf numFmtId="0" fontId="3" fillId="0" borderId="64" xfId="0" applyNumberFormat="1" applyFont="1" applyFill="1" applyBorder="1" applyAlignment="1" applyProtection="1">
      <alignment horizontal="right" vertical="center"/>
    </xf>
    <xf numFmtId="0" fontId="2" fillId="0" borderId="72" xfId="0" applyNumberFormat="1" applyFont="1" applyFill="1" applyBorder="1" applyAlignment="1" applyProtection="1">
      <alignment horizontal="left" vertical="center"/>
    </xf>
    <xf numFmtId="0" fontId="2" fillId="0" borderId="66" xfId="0" applyNumberFormat="1" applyFont="1" applyFill="1" applyBorder="1" applyAlignment="1" applyProtection="1">
      <alignment horizontal="left" vertical="center"/>
    </xf>
    <xf numFmtId="0" fontId="2" fillId="0" borderId="58" xfId="0" applyNumberFormat="1" applyFont="1" applyFill="1" applyBorder="1" applyAlignment="1" applyProtection="1">
      <alignment horizontal="center" vertical="center"/>
    </xf>
    <xf numFmtId="0" fontId="3" fillId="0" borderId="73" xfId="0" applyNumberFormat="1" applyFont="1" applyFill="1" applyBorder="1" applyAlignment="1" applyProtection="1">
      <alignment horizontal="left" vertical="center"/>
    </xf>
    <xf numFmtId="0" fontId="3" fillId="0" borderId="74" xfId="0" applyNumberFormat="1" applyFont="1" applyFill="1" applyBorder="1" applyAlignment="1" applyProtection="1">
      <alignment horizontal="left" vertical="center"/>
    </xf>
    <xf numFmtId="4" fontId="3" fillId="0" borderId="75" xfId="0" applyNumberFormat="1" applyFont="1" applyFill="1" applyBorder="1" applyAlignment="1" applyProtection="1">
      <alignment horizontal="right" vertical="center"/>
    </xf>
    <xf numFmtId="0" fontId="3" fillId="0" borderId="76" xfId="0" applyNumberFormat="1" applyFont="1" applyFill="1" applyBorder="1" applyAlignment="1" applyProtection="1">
      <alignment horizontal="left" vertical="center"/>
    </xf>
    <xf numFmtId="4" fontId="3" fillId="0" borderId="77" xfId="0" applyNumberFormat="1" applyFont="1" applyFill="1" applyBorder="1" applyAlignment="1" applyProtection="1">
      <alignment horizontal="right" vertical="center"/>
    </xf>
    <xf numFmtId="0" fontId="3" fillId="0" borderId="78" xfId="0" applyNumberFormat="1" applyFont="1" applyFill="1" applyBorder="1" applyAlignment="1" applyProtection="1">
      <alignment horizontal="left" vertical="center"/>
    </xf>
    <xf numFmtId="0" fontId="3" fillId="0" borderId="79" xfId="0" applyNumberFormat="1" applyFont="1" applyFill="1" applyBorder="1" applyAlignment="1" applyProtection="1">
      <alignment horizontal="left" vertical="center"/>
    </xf>
    <xf numFmtId="4" fontId="3" fillId="0" borderId="80" xfId="0" applyNumberFormat="1" applyFont="1" applyFill="1" applyBorder="1" applyAlignment="1" applyProtection="1">
      <alignment horizontal="right" vertical="center"/>
    </xf>
    <xf numFmtId="0" fontId="3" fillId="0" borderId="63" xfId="0" applyFont="1" applyFill="1" applyBorder="1" applyAlignment="1">
      <alignment horizontal="left" vertical="center"/>
    </xf>
    <xf numFmtId="0" fontId="2" fillId="0" borderId="64" xfId="0" applyFont="1" applyFill="1" applyBorder="1" applyAlignment="1">
      <alignment horizontal="left" vertical="center"/>
    </xf>
    <xf numFmtId="0" fontId="3" fillId="0" borderId="64" xfId="0" applyNumberFormat="1" applyFont="1" applyFill="1" applyBorder="1" applyAlignment="1" applyProtection="1">
      <alignment horizontal="left" vertical="center" wrapText="1"/>
    </xf>
    <xf numFmtId="0" fontId="2" fillId="2" borderId="64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9" fillId="0" borderId="56" xfId="0" applyNumberFormat="1" applyFont="1" applyFill="1" applyBorder="1" applyAlignment="1" applyProtection="1">
      <alignment horizontal="left" vertical="center"/>
    </xf>
    <xf numFmtId="0" fontId="9" fillId="0" borderId="32" xfId="0" applyNumberFormat="1" applyFont="1" applyFill="1" applyBorder="1" applyAlignment="1" applyProtection="1">
      <alignment horizontal="left" vertical="center"/>
    </xf>
    <xf numFmtId="0" fontId="9" fillId="0" borderId="55" xfId="0" applyNumberFormat="1" applyFont="1" applyFill="1" applyBorder="1" applyAlignment="1" applyProtection="1">
      <alignment horizontal="left" vertical="center"/>
    </xf>
    <xf numFmtId="0" fontId="9" fillId="0" borderId="59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58" xfId="0" applyNumberFormat="1" applyFont="1" applyFill="1" applyBorder="1" applyAlignment="1" applyProtection="1">
      <alignment horizontal="left" vertical="center"/>
    </xf>
    <xf numFmtId="0" fontId="9" fillId="0" borderId="62" xfId="0" applyNumberFormat="1" applyFont="1" applyFill="1" applyBorder="1" applyAlignment="1" applyProtection="1">
      <alignment horizontal="left" vertical="center"/>
    </xf>
    <xf numFmtId="0" fontId="9" fillId="0" borderId="34" xfId="0" applyNumberFormat="1" applyFont="1" applyFill="1" applyBorder="1" applyAlignment="1" applyProtection="1">
      <alignment horizontal="left" vertical="center"/>
    </xf>
    <xf numFmtId="0" fontId="9" fillId="0" borderId="61" xfId="0" applyNumberFormat="1" applyFont="1" applyFill="1" applyBorder="1" applyAlignment="1" applyProtection="1">
      <alignment horizontal="left" vertical="center"/>
    </xf>
    <xf numFmtId="0" fontId="9" fillId="0" borderId="54" xfId="0" applyNumberFormat="1" applyFont="1" applyFill="1" applyBorder="1" applyAlignment="1" applyProtection="1">
      <alignment horizontal="left" vertical="center"/>
    </xf>
    <xf numFmtId="0" fontId="9" fillId="0" borderId="57" xfId="0" applyNumberFormat="1" applyFont="1" applyFill="1" applyBorder="1" applyAlignment="1" applyProtection="1">
      <alignment horizontal="left" vertical="center"/>
    </xf>
    <xf numFmtId="0" fontId="9" fillId="0" borderId="60" xfId="0" applyNumberFormat="1" applyFont="1" applyFill="1" applyBorder="1" applyAlignment="1" applyProtection="1">
      <alignment horizontal="left" vertical="center"/>
    </xf>
    <xf numFmtId="0" fontId="8" fillId="0" borderId="46" xfId="0" applyNumberFormat="1" applyFont="1" applyFill="1" applyBorder="1" applyAlignment="1" applyProtection="1">
      <alignment horizontal="left" vertical="center"/>
    </xf>
    <xf numFmtId="0" fontId="8" fillId="0" borderId="44" xfId="0" applyNumberFormat="1" applyFont="1" applyFill="1" applyBorder="1" applyAlignment="1" applyProtection="1">
      <alignment horizontal="left" vertical="center"/>
    </xf>
    <xf numFmtId="0" fontId="8" fillId="2" borderId="51" xfId="0" applyNumberFormat="1" applyFont="1" applyFill="1" applyBorder="1" applyAlignment="1" applyProtection="1">
      <alignment horizontal="left" vertical="center"/>
    </xf>
    <xf numFmtId="0" fontId="8" fillId="2" borderId="52" xfId="0" applyNumberFormat="1" applyFont="1" applyFill="1" applyBorder="1" applyAlignment="1" applyProtection="1">
      <alignment horizontal="left" vertical="center"/>
    </xf>
    <xf numFmtId="0" fontId="8" fillId="2" borderId="46" xfId="0" applyNumberFormat="1" applyFont="1" applyFill="1" applyBorder="1" applyAlignment="1" applyProtection="1">
      <alignment horizontal="left" vertical="center"/>
    </xf>
    <xf numFmtId="0" fontId="8" fillId="2" borderId="53" xfId="0" applyNumberFormat="1" applyFont="1" applyFill="1" applyBorder="1" applyAlignment="1" applyProtection="1">
      <alignment horizontal="left" vertical="center"/>
    </xf>
    <xf numFmtId="0" fontId="8" fillId="2" borderId="38" xfId="0" applyNumberFormat="1" applyFont="1" applyFill="1" applyBorder="1" applyAlignment="1" applyProtection="1">
      <alignment horizontal="left" vertical="center"/>
    </xf>
    <xf numFmtId="0" fontId="8" fillId="2" borderId="43" xfId="0" applyNumberFormat="1" applyFont="1" applyFill="1" applyBorder="1" applyAlignment="1" applyProtection="1">
      <alignment horizontal="left" vertical="center"/>
    </xf>
    <xf numFmtId="0" fontId="9" fillId="0" borderId="43" xfId="0" applyNumberFormat="1" applyFont="1" applyFill="1" applyBorder="1" applyAlignment="1" applyProtection="1">
      <alignment horizontal="left" vertical="center"/>
    </xf>
    <xf numFmtId="0" fontId="9" fillId="0" borderId="44" xfId="0" applyNumberFormat="1" applyFont="1" applyFill="1" applyBorder="1" applyAlignment="1" applyProtection="1">
      <alignment horizontal="left" vertical="center"/>
    </xf>
    <xf numFmtId="0" fontId="9" fillId="0" borderId="50" xfId="0" applyNumberFormat="1" applyFont="1" applyFill="1" applyBorder="1" applyAlignment="1" applyProtection="1">
      <alignment horizontal="left" vertical="center"/>
    </xf>
    <xf numFmtId="0" fontId="9" fillId="0" borderId="48" xfId="0" applyNumberFormat="1" applyFont="1" applyFill="1" applyBorder="1" applyAlignment="1" applyProtection="1">
      <alignment horizontal="left" vertical="center"/>
    </xf>
    <xf numFmtId="0" fontId="8" fillId="0" borderId="38" xfId="0" applyNumberFormat="1" applyFont="1" applyFill="1" applyBorder="1" applyAlignment="1" applyProtection="1">
      <alignment horizontal="left" vertical="center"/>
    </xf>
    <xf numFmtId="0" fontId="8" fillId="0" borderId="39" xfId="0" applyNumberFormat="1" applyFont="1" applyFill="1" applyBorder="1" applyAlignment="1" applyProtection="1">
      <alignment horizontal="left" vertical="center"/>
    </xf>
    <xf numFmtId="0" fontId="8" fillId="0" borderId="43" xfId="0" applyNumberFormat="1" applyFont="1" applyFill="1" applyBorder="1" applyAlignment="1" applyProtection="1">
      <alignment horizontal="left" vertical="center"/>
    </xf>
    <xf numFmtId="0" fontId="8" fillId="0" borderId="47" xfId="0" applyNumberFormat="1" applyFont="1" applyFill="1" applyBorder="1" applyAlignment="1" applyProtection="1">
      <alignment horizontal="left" vertical="center"/>
    </xf>
    <xf numFmtId="0" fontId="8" fillId="0" borderId="48" xfId="0" applyNumberFormat="1" applyFont="1" applyFill="1" applyBorder="1" applyAlignment="1" applyProtection="1">
      <alignment horizontal="left" vertical="center"/>
    </xf>
    <xf numFmtId="0" fontId="8" fillId="0" borderId="51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30" xfId="0" applyNumberFormat="1" applyFont="1" applyFill="1" applyBorder="1" applyAlignment="1" applyProtection="1">
      <alignment horizontal="left" vertical="center"/>
    </xf>
    <xf numFmtId="0" fontId="5" fillId="0" borderId="36" xfId="0" applyNumberFormat="1" applyFont="1" applyFill="1" applyBorder="1" applyAlignment="1" applyProtection="1">
      <alignment horizontal="center" vertical="center"/>
    </xf>
    <xf numFmtId="0" fontId="7" fillId="0" borderId="38" xfId="0" applyNumberFormat="1" applyFont="1" applyFill="1" applyBorder="1" applyAlignment="1" applyProtection="1">
      <alignment horizontal="left" vertical="center"/>
    </xf>
    <xf numFmtId="0" fontId="7" fillId="0" borderId="39" xfId="0" applyNumberFormat="1" applyFont="1" applyFill="1" applyBorder="1" applyAlignment="1" applyProtection="1">
      <alignment horizontal="left" vertical="center"/>
    </xf>
    <xf numFmtId="0" fontId="3" fillId="0" borderId="29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28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1" fontId="3" fillId="0" borderId="6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64" xfId="0" applyNumberFormat="1" applyFont="1" applyFill="1" applyBorder="1" applyAlignment="1" applyProtection="1">
      <alignment horizontal="left" vertical="center"/>
    </xf>
    <xf numFmtId="0" fontId="3" fillId="0" borderId="74" xfId="0" applyNumberFormat="1" applyFont="1" applyFill="1" applyBorder="1" applyAlignment="1" applyProtection="1">
      <alignment horizontal="left" vertical="center"/>
    </xf>
    <xf numFmtId="0" fontId="3" fillId="0" borderId="64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0" fontId="3" fillId="0" borderId="11" xfId="0" applyNumberFormat="1" applyFont="1" applyFill="1" applyBorder="1" applyAlignment="1" applyProtection="1">
      <alignment horizontal="left" vertical="center"/>
    </xf>
    <xf numFmtId="0" fontId="3" fillId="0" borderId="32" xfId="0" applyNumberFormat="1" applyFont="1" applyFill="1" applyBorder="1" applyAlignment="1" applyProtection="1">
      <alignment horizontal="left" vertical="center"/>
    </xf>
    <xf numFmtId="0" fontId="3" fillId="0" borderId="33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0" fontId="3" fillId="0" borderId="29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/>
    </xf>
    <xf numFmtId="0" fontId="2" fillId="0" borderId="21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horizontal="left" vertical="center"/>
    </xf>
    <xf numFmtId="0" fontId="2" fillId="2" borderId="27" xfId="0" applyNumberFormat="1" applyFont="1" applyFill="1" applyBorder="1" applyAlignment="1" applyProtection="1">
      <alignment horizontal="left" vertical="center" wrapText="1"/>
    </xf>
    <xf numFmtId="0" fontId="2" fillId="2" borderId="27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horizontal="left" vertical="center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 wrapText="1"/>
    </xf>
    <xf numFmtId="0" fontId="3" fillId="0" borderId="64" xfId="0" applyFont="1" applyBorder="1" applyAlignment="1">
      <alignment horizontal="left" vertical="center"/>
    </xf>
    <xf numFmtId="0" fontId="2" fillId="2" borderId="64" xfId="0" applyFont="1" applyFill="1" applyBorder="1" applyAlignment="1">
      <alignment horizontal="left" vertical="center" wrapText="1"/>
    </xf>
    <xf numFmtId="0" fontId="2" fillId="2" borderId="64" xfId="0" applyFont="1" applyFill="1" applyBorder="1" applyAlignment="1">
      <alignment horizontal="left" vertical="center"/>
    </xf>
    <xf numFmtId="0" fontId="3" fillId="0" borderId="53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/>
    </xf>
    <xf numFmtId="0" fontId="1" fillId="0" borderId="6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67" xfId="0" applyNumberFormat="1" applyFont="1" applyFill="1" applyBorder="1" applyAlignment="1" applyProtection="1">
      <alignment horizontal="left" vertical="center"/>
    </xf>
    <xf numFmtId="0" fontId="2" fillId="0" borderId="68" xfId="0" applyNumberFormat="1" applyFont="1" applyFill="1" applyBorder="1" applyAlignment="1" applyProtection="1">
      <alignment horizontal="left" vertical="center"/>
    </xf>
    <xf numFmtId="0" fontId="2" fillId="0" borderId="69" xfId="0" applyNumberFormat="1" applyFont="1" applyFill="1" applyBorder="1" applyAlignment="1" applyProtection="1">
      <alignment horizontal="left" vertical="center"/>
    </xf>
    <xf numFmtId="0" fontId="8" fillId="0" borderId="67" xfId="0" applyNumberFormat="1" applyFont="1" applyFill="1" applyBorder="1" applyAlignment="1" applyProtection="1">
      <alignment horizontal="left" vertical="center"/>
    </xf>
    <xf numFmtId="0" fontId="8" fillId="0" borderId="68" xfId="0" applyNumberFormat="1" applyFont="1" applyFill="1" applyBorder="1" applyAlignment="1" applyProtection="1">
      <alignment horizontal="left" vertical="center"/>
    </xf>
    <xf numFmtId="0" fontId="8" fillId="0" borderId="69" xfId="0" applyNumberFormat="1" applyFont="1" applyFill="1" applyBorder="1" applyAlignment="1" applyProtection="1">
      <alignment horizontal="left" vertical="center"/>
    </xf>
    <xf numFmtId="4" fontId="8" fillId="0" borderId="71" xfId="0" applyNumberFormat="1" applyFont="1" applyFill="1" applyBorder="1" applyAlignment="1" applyProtection="1">
      <alignment horizontal="right" vertical="center"/>
    </xf>
    <xf numFmtId="0" fontId="8" fillId="0" borderId="68" xfId="0" applyNumberFormat="1" applyFont="1" applyFill="1" applyBorder="1" applyAlignment="1" applyProtection="1">
      <alignment horizontal="right" vertical="center"/>
    </xf>
    <xf numFmtId="0" fontId="8" fillId="0" borderId="69" xfId="0" applyNumberFormat="1" applyFont="1" applyFill="1" applyBorder="1" applyAlignment="1" applyProtection="1">
      <alignment horizontal="right" vertical="center"/>
    </xf>
    <xf numFmtId="0" fontId="8" fillId="0" borderId="8" xfId="0" applyNumberFormat="1" applyFont="1" applyFill="1" applyBorder="1" applyAlignment="1" applyProtection="1">
      <alignment horizontal="left" vertical="center"/>
    </xf>
    <xf numFmtId="0" fontId="2" fillId="0" borderId="14" xfId="0" applyNumberFormat="1" applyFont="1" applyFill="1" applyBorder="1" applyAlignment="1" applyProtection="1">
      <alignment horizontal="left" vertical="center"/>
    </xf>
    <xf numFmtId="0" fontId="2" fillId="0" borderId="15" xfId="0" applyNumberFormat="1" applyFont="1" applyFill="1" applyBorder="1" applyAlignment="1" applyProtection="1">
      <alignment horizontal="left" vertical="center"/>
    </xf>
    <xf numFmtId="0" fontId="2" fillId="0" borderId="16" xfId="0" applyNumberFormat="1" applyFont="1" applyFill="1" applyBorder="1" applyAlignment="1" applyProtection="1">
      <alignment horizontal="left" vertical="center"/>
    </xf>
    <xf numFmtId="0" fontId="3" fillId="0" borderId="63" xfId="0" applyNumberFormat="1" applyFont="1" applyFill="1" applyBorder="1" applyAlignment="1" applyProtection="1">
      <alignment horizontal="left" vertical="center"/>
    </xf>
    <xf numFmtId="0" fontId="3" fillId="0" borderId="65" xfId="0" applyNumberFormat="1" applyFont="1" applyFill="1" applyBorder="1" applyAlignment="1" applyProtection="1">
      <alignment horizontal="left" vertical="center"/>
    </xf>
    <xf numFmtId="0" fontId="3" fillId="0" borderId="46" xfId="0" applyNumberFormat="1" applyFont="1" applyFill="1" applyBorder="1" applyAlignment="1" applyProtection="1">
      <alignment horizontal="left" vertical="center"/>
    </xf>
    <xf numFmtId="0" fontId="3" fillId="0" borderId="53" xfId="0" applyNumberFormat="1" applyFont="1" applyFill="1" applyBorder="1" applyAlignment="1" applyProtection="1">
      <alignment horizontal="left" vertical="center"/>
    </xf>
    <xf numFmtId="0" fontId="3" fillId="0" borderId="44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7"/>
  <sheetViews>
    <sheetView tabSelected="1" workbookViewId="0">
      <selection activeCell="C2" sqref="C2:D3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41" t="s">
        <v>107</v>
      </c>
      <c r="B1" s="142"/>
      <c r="C1" s="142"/>
      <c r="D1" s="142"/>
      <c r="E1" s="142"/>
      <c r="F1" s="142"/>
      <c r="G1" s="142"/>
      <c r="H1" s="142"/>
      <c r="I1" s="142"/>
    </row>
    <row r="2" spans="1:9" x14ac:dyDescent="0.25">
      <c r="A2" s="143" t="s">
        <v>1</v>
      </c>
      <c r="B2" s="144"/>
      <c r="C2" s="149" t="str">
        <f>'Stavební rozpočet-fólie'!D2</f>
        <v>Terasa - Zelený dům pohody Hodonín</v>
      </c>
      <c r="D2" s="150"/>
      <c r="E2" s="140" t="s">
        <v>4</v>
      </c>
      <c r="F2" s="140"/>
      <c r="G2" s="144"/>
      <c r="H2" s="140" t="s">
        <v>108</v>
      </c>
      <c r="I2" s="146" t="s">
        <v>40</v>
      </c>
    </row>
    <row r="3" spans="1:9" ht="15" customHeight="1" x14ac:dyDescent="0.25">
      <c r="A3" s="145"/>
      <c r="B3" s="101"/>
      <c r="C3" s="151"/>
      <c r="D3" s="151"/>
      <c r="E3" s="101"/>
      <c r="F3" s="101"/>
      <c r="G3" s="101"/>
      <c r="H3" s="101"/>
      <c r="I3" s="147"/>
    </row>
    <row r="4" spans="1:9" x14ac:dyDescent="0.25">
      <c r="A4" s="138" t="s">
        <v>5</v>
      </c>
      <c r="B4" s="101"/>
      <c r="C4" s="100" t="str">
        <f>'Stavební rozpočet-fólie'!D4</f>
        <v xml:space="preserve"> </v>
      </c>
      <c r="D4" s="101"/>
      <c r="E4" s="100" t="s">
        <v>7</v>
      </c>
      <c r="F4" s="100"/>
      <c r="G4" s="101"/>
      <c r="H4" s="100" t="s">
        <v>108</v>
      </c>
      <c r="I4" s="147" t="s">
        <v>40</v>
      </c>
    </row>
    <row r="5" spans="1:9" ht="15" customHeight="1" x14ac:dyDescent="0.25">
      <c r="A5" s="145"/>
      <c r="B5" s="101"/>
      <c r="C5" s="101"/>
      <c r="D5" s="101"/>
      <c r="E5" s="101"/>
      <c r="F5" s="101"/>
      <c r="G5" s="101"/>
      <c r="H5" s="101"/>
      <c r="I5" s="147"/>
    </row>
    <row r="6" spans="1:9" x14ac:dyDescent="0.25">
      <c r="A6" s="138" t="s">
        <v>8</v>
      </c>
      <c r="B6" s="101"/>
      <c r="C6" s="100" t="str">
        <f>'Stavební rozpočet-fólie'!D6</f>
        <v xml:space="preserve"> </v>
      </c>
      <c r="D6" s="101"/>
      <c r="E6" s="100" t="s">
        <v>10</v>
      </c>
      <c r="F6" s="100"/>
      <c r="G6" s="101"/>
      <c r="H6" s="100" t="s">
        <v>108</v>
      </c>
      <c r="I6" s="147" t="s">
        <v>40</v>
      </c>
    </row>
    <row r="7" spans="1:9" ht="15" customHeight="1" x14ac:dyDescent="0.25">
      <c r="A7" s="145"/>
      <c r="B7" s="101"/>
      <c r="C7" s="101"/>
      <c r="D7" s="101"/>
      <c r="E7" s="101"/>
      <c r="F7" s="101"/>
      <c r="G7" s="101"/>
      <c r="H7" s="101"/>
      <c r="I7" s="147"/>
    </row>
    <row r="8" spans="1:9" x14ac:dyDescent="0.25">
      <c r="A8" s="138" t="s">
        <v>6</v>
      </c>
      <c r="B8" s="101"/>
      <c r="C8" s="100"/>
      <c r="D8" s="101"/>
      <c r="E8" s="100" t="s">
        <v>9</v>
      </c>
      <c r="F8" s="100" t="str">
        <f>'Stavební rozpočet-fólie'!H6</f>
        <v xml:space="preserve"> </v>
      </c>
      <c r="G8" s="101"/>
      <c r="H8" s="101" t="s">
        <v>109</v>
      </c>
      <c r="I8" s="148">
        <v>26</v>
      </c>
    </row>
    <row r="9" spans="1:9" x14ac:dyDescent="0.25">
      <c r="A9" s="145"/>
      <c r="B9" s="101"/>
      <c r="C9" s="101"/>
      <c r="D9" s="101"/>
      <c r="E9" s="101"/>
      <c r="F9" s="101"/>
      <c r="G9" s="101"/>
      <c r="H9" s="101"/>
      <c r="I9" s="147"/>
    </row>
    <row r="10" spans="1:9" x14ac:dyDescent="0.25">
      <c r="A10" s="138" t="s">
        <v>11</v>
      </c>
      <c r="B10" s="101"/>
      <c r="C10" s="100" t="str">
        <f>'Stavební rozpočet-fólie'!D8</f>
        <v xml:space="preserve"> </v>
      </c>
      <c r="D10" s="101"/>
      <c r="E10" s="100" t="s">
        <v>13</v>
      </c>
      <c r="F10" s="100"/>
      <c r="G10" s="101"/>
      <c r="H10" s="101" t="s">
        <v>110</v>
      </c>
      <c r="I10" s="132"/>
    </row>
    <row r="11" spans="1:9" x14ac:dyDescent="0.25">
      <c r="A11" s="139"/>
      <c r="B11" s="137"/>
      <c r="C11" s="137"/>
      <c r="D11" s="137"/>
      <c r="E11" s="137"/>
      <c r="F11" s="137"/>
      <c r="G11" s="137"/>
      <c r="H11" s="137"/>
      <c r="I11" s="133"/>
    </row>
    <row r="12" spans="1:9" ht="23.25" x14ac:dyDescent="0.25">
      <c r="A12" s="134" t="s">
        <v>111</v>
      </c>
      <c r="B12" s="134"/>
      <c r="C12" s="134"/>
      <c r="D12" s="134"/>
      <c r="E12" s="134"/>
      <c r="F12" s="134"/>
      <c r="G12" s="134"/>
      <c r="H12" s="134"/>
      <c r="I12" s="134"/>
    </row>
    <row r="13" spans="1:9" ht="26.25" customHeight="1" x14ac:dyDescent="0.25">
      <c r="A13" s="33" t="s">
        <v>112</v>
      </c>
      <c r="B13" s="135" t="s">
        <v>113</v>
      </c>
      <c r="C13" s="136"/>
      <c r="D13" s="34" t="s">
        <v>114</v>
      </c>
      <c r="E13" s="135" t="s">
        <v>115</v>
      </c>
      <c r="F13" s="136"/>
      <c r="G13" s="34" t="s">
        <v>116</v>
      </c>
      <c r="H13" s="135" t="s">
        <v>117</v>
      </c>
      <c r="I13" s="136"/>
    </row>
    <row r="14" spans="1:9" ht="15.75" x14ac:dyDescent="0.25">
      <c r="A14" s="35" t="s">
        <v>118</v>
      </c>
      <c r="B14" s="36" t="s">
        <v>119</v>
      </c>
      <c r="C14" s="37">
        <f>SUM('Stavební rozpočet-fólie'!U12:U63)</f>
        <v>0</v>
      </c>
      <c r="D14" s="122" t="s">
        <v>120</v>
      </c>
      <c r="E14" s="123"/>
      <c r="F14" s="37">
        <f>VORN!I15</f>
        <v>0</v>
      </c>
      <c r="G14" s="122" t="s">
        <v>121</v>
      </c>
      <c r="H14" s="123"/>
      <c r="I14" s="37">
        <v>0</v>
      </c>
    </row>
    <row r="15" spans="1:9" ht="15.75" x14ac:dyDescent="0.25">
      <c r="A15" s="38" t="s">
        <v>40</v>
      </c>
      <c r="B15" s="36" t="s">
        <v>26</v>
      </c>
      <c r="C15" s="37">
        <f>SUM('Stavební rozpočet-fólie'!V12:V63)</f>
        <v>0</v>
      </c>
      <c r="D15" s="122" t="s">
        <v>122</v>
      </c>
      <c r="E15" s="123"/>
      <c r="F15" s="37">
        <f>VORN!I16</f>
        <v>0</v>
      </c>
      <c r="G15" s="122" t="s">
        <v>123</v>
      </c>
      <c r="H15" s="123"/>
      <c r="I15" s="37">
        <f>VORN!I22</f>
        <v>0</v>
      </c>
    </row>
    <row r="16" spans="1:9" ht="15.75" x14ac:dyDescent="0.25">
      <c r="A16" s="35" t="s">
        <v>124</v>
      </c>
      <c r="B16" s="36" t="s">
        <v>119</v>
      </c>
      <c r="C16" s="37">
        <v>0</v>
      </c>
      <c r="D16" s="122" t="s">
        <v>125</v>
      </c>
      <c r="E16" s="123"/>
      <c r="F16" s="37">
        <f>VORN!I17</f>
        <v>0</v>
      </c>
      <c r="G16" s="122" t="s">
        <v>126</v>
      </c>
      <c r="H16" s="123"/>
      <c r="I16" s="37">
        <f>VORN!I23</f>
        <v>0</v>
      </c>
    </row>
    <row r="17" spans="1:9" ht="15.75" x14ac:dyDescent="0.25">
      <c r="A17" s="38" t="s">
        <v>40</v>
      </c>
      <c r="B17" s="36" t="s">
        <v>26</v>
      </c>
      <c r="C17" s="37">
        <v>0</v>
      </c>
      <c r="D17" s="122" t="s">
        <v>40</v>
      </c>
      <c r="E17" s="123"/>
      <c r="F17" s="39" t="s">
        <v>40</v>
      </c>
      <c r="G17" s="122" t="s">
        <v>127</v>
      </c>
      <c r="H17" s="123"/>
      <c r="I17" s="37">
        <f>VORN!I24</f>
        <v>0</v>
      </c>
    </row>
    <row r="18" spans="1:9" ht="15.75" x14ac:dyDescent="0.25">
      <c r="A18" s="35" t="s">
        <v>128</v>
      </c>
      <c r="B18" s="36" t="s">
        <v>119</v>
      </c>
      <c r="C18" s="37">
        <f>SUM('Stavební rozpočet-fólie'!Y12:Y63)</f>
        <v>0</v>
      </c>
      <c r="D18" s="122" t="s">
        <v>40</v>
      </c>
      <c r="E18" s="123"/>
      <c r="F18" s="39" t="s">
        <v>40</v>
      </c>
      <c r="G18" s="122" t="s">
        <v>129</v>
      </c>
      <c r="H18" s="123"/>
      <c r="I18" s="37">
        <f>VORN!I25</f>
        <v>0</v>
      </c>
    </row>
    <row r="19" spans="1:9" ht="15.75" x14ac:dyDescent="0.25">
      <c r="A19" s="38" t="s">
        <v>40</v>
      </c>
      <c r="B19" s="36" t="s">
        <v>26</v>
      </c>
      <c r="C19" s="37">
        <f>SUM('Stavební rozpočet-fólie'!Z12:Z63)</f>
        <v>0</v>
      </c>
      <c r="D19" s="122" t="s">
        <v>40</v>
      </c>
      <c r="E19" s="123"/>
      <c r="F19" s="39" t="s">
        <v>40</v>
      </c>
      <c r="G19" s="122" t="s">
        <v>130</v>
      </c>
      <c r="H19" s="123"/>
      <c r="I19" s="37">
        <f>VORN!I26</f>
        <v>0</v>
      </c>
    </row>
    <row r="20" spans="1:9" ht="15.75" x14ac:dyDescent="0.25">
      <c r="A20" s="114" t="s">
        <v>131</v>
      </c>
      <c r="B20" s="115"/>
      <c r="C20" s="37">
        <f>SUM('Stavební rozpočet-fólie'!AA12:AA63)</f>
        <v>0</v>
      </c>
      <c r="D20" s="122" t="s">
        <v>40</v>
      </c>
      <c r="E20" s="123"/>
      <c r="F20" s="39" t="s">
        <v>40</v>
      </c>
      <c r="G20" s="122" t="s">
        <v>40</v>
      </c>
      <c r="H20" s="123"/>
      <c r="I20" s="39" t="s">
        <v>40</v>
      </c>
    </row>
    <row r="21" spans="1:9" ht="15.75" x14ac:dyDescent="0.25">
      <c r="A21" s="129" t="s">
        <v>132</v>
      </c>
      <c r="B21" s="130"/>
      <c r="C21" s="40">
        <v>0</v>
      </c>
      <c r="D21" s="124" t="s">
        <v>40</v>
      </c>
      <c r="E21" s="125"/>
      <c r="F21" s="41" t="s">
        <v>40</v>
      </c>
      <c r="G21" s="124" t="s">
        <v>40</v>
      </c>
      <c r="H21" s="125"/>
      <c r="I21" s="41" t="s">
        <v>40</v>
      </c>
    </row>
    <row r="22" spans="1:9" ht="16.5" customHeight="1" x14ac:dyDescent="0.25">
      <c r="A22" s="131" t="s">
        <v>133</v>
      </c>
      <c r="B22" s="127"/>
      <c r="C22" s="42">
        <f>'Rozpočet - Jen podskupiny'!I15</f>
        <v>0</v>
      </c>
      <c r="D22" s="126" t="s">
        <v>134</v>
      </c>
      <c r="E22" s="127"/>
      <c r="F22" s="42">
        <f>SUM(F14:F21)</f>
        <v>0</v>
      </c>
      <c r="G22" s="126" t="s">
        <v>135</v>
      </c>
      <c r="H22" s="127"/>
      <c r="I22" s="42">
        <f>SUM(I14:I21)</f>
        <v>0</v>
      </c>
    </row>
    <row r="23" spans="1:9" ht="15.75" x14ac:dyDescent="0.25">
      <c r="D23" s="114" t="s">
        <v>136</v>
      </c>
      <c r="E23" s="115"/>
      <c r="F23" s="43">
        <v>0</v>
      </c>
      <c r="G23" s="128" t="s">
        <v>137</v>
      </c>
      <c r="H23" s="115"/>
      <c r="I23" s="37">
        <v>0</v>
      </c>
    </row>
    <row r="24" spans="1:9" ht="15.75" x14ac:dyDescent="0.25">
      <c r="G24" s="114" t="s">
        <v>138</v>
      </c>
      <c r="H24" s="115"/>
      <c r="I24" s="37">
        <f>vorn_sum</f>
        <v>0</v>
      </c>
    </row>
    <row r="25" spans="1:9" ht="15.75" x14ac:dyDescent="0.25">
      <c r="G25" s="114" t="s">
        <v>139</v>
      </c>
      <c r="H25" s="115"/>
      <c r="I25" s="37">
        <v>0</v>
      </c>
    </row>
    <row r="27" spans="1:9" ht="15.75" x14ac:dyDescent="0.25">
      <c r="A27" s="116" t="s">
        <v>140</v>
      </c>
      <c r="B27" s="117"/>
      <c r="C27" s="44">
        <f>ROUND(SUM('Stavební rozpočet-fólie'!AC12:AC63),2)</f>
        <v>0</v>
      </c>
    </row>
    <row r="28" spans="1:9" ht="15.75" x14ac:dyDescent="0.25">
      <c r="A28" s="118" t="s">
        <v>141</v>
      </c>
      <c r="B28" s="119"/>
      <c r="C28" s="45">
        <f>C22+I22</f>
        <v>0</v>
      </c>
      <c r="D28" s="120" t="s">
        <v>142</v>
      </c>
      <c r="E28" s="117"/>
      <c r="F28" s="44">
        <f>ROUND(C28*(12/100),2)</f>
        <v>0</v>
      </c>
      <c r="G28" s="120" t="s">
        <v>143</v>
      </c>
      <c r="H28" s="117"/>
      <c r="I28" s="44">
        <f>ROUND(SUM(C27:C29),2)</f>
        <v>0</v>
      </c>
    </row>
    <row r="29" spans="1:9" ht="15.75" x14ac:dyDescent="0.25">
      <c r="A29" s="118" t="s">
        <v>144</v>
      </c>
      <c r="B29" s="119"/>
      <c r="C29" s="45">
        <v>0</v>
      </c>
      <c r="D29" s="121" t="s">
        <v>145</v>
      </c>
      <c r="E29" s="119"/>
      <c r="F29" s="45">
        <f>ROUND(C29*(21/100),2)</f>
        <v>0</v>
      </c>
      <c r="G29" s="121" t="s">
        <v>146</v>
      </c>
      <c r="H29" s="119"/>
      <c r="I29" s="45">
        <f>ROUND(SUM(F28:F29)+I28,2)</f>
        <v>0</v>
      </c>
    </row>
    <row r="31" spans="1:9" x14ac:dyDescent="0.25">
      <c r="A31" s="111" t="s">
        <v>147</v>
      </c>
      <c r="B31" s="103"/>
      <c r="C31" s="104"/>
      <c r="D31" s="102" t="s">
        <v>148</v>
      </c>
      <c r="E31" s="103"/>
      <c r="F31" s="104"/>
      <c r="G31" s="102" t="s">
        <v>149</v>
      </c>
      <c r="H31" s="103"/>
      <c r="I31" s="104"/>
    </row>
    <row r="32" spans="1:9" x14ac:dyDescent="0.25">
      <c r="A32" s="112" t="s">
        <v>40</v>
      </c>
      <c r="B32" s="106"/>
      <c r="C32" s="107"/>
      <c r="D32" s="105" t="s">
        <v>40</v>
      </c>
      <c r="E32" s="106"/>
      <c r="F32" s="107"/>
      <c r="G32" s="105" t="s">
        <v>40</v>
      </c>
      <c r="H32" s="106"/>
      <c r="I32" s="107"/>
    </row>
    <row r="33" spans="1:9" x14ac:dyDescent="0.25">
      <c r="A33" s="112" t="s">
        <v>40</v>
      </c>
      <c r="B33" s="106"/>
      <c r="C33" s="107"/>
      <c r="D33" s="105" t="s">
        <v>40</v>
      </c>
      <c r="E33" s="106"/>
      <c r="F33" s="107"/>
      <c r="G33" s="105" t="s">
        <v>40</v>
      </c>
      <c r="H33" s="106"/>
      <c r="I33" s="107"/>
    </row>
    <row r="34" spans="1:9" x14ac:dyDescent="0.25">
      <c r="A34" s="112" t="s">
        <v>40</v>
      </c>
      <c r="B34" s="106"/>
      <c r="C34" s="107"/>
      <c r="D34" s="105" t="s">
        <v>40</v>
      </c>
      <c r="E34" s="106"/>
      <c r="F34" s="107"/>
      <c r="G34" s="105" t="s">
        <v>40</v>
      </c>
      <c r="H34" s="106"/>
      <c r="I34" s="107"/>
    </row>
    <row r="35" spans="1:9" x14ac:dyDescent="0.25">
      <c r="A35" s="113" t="s">
        <v>150</v>
      </c>
      <c r="B35" s="109"/>
      <c r="C35" s="110"/>
      <c r="D35" s="108" t="s">
        <v>150</v>
      </c>
      <c r="E35" s="109"/>
      <c r="F35" s="110"/>
      <c r="G35" s="108" t="s">
        <v>150</v>
      </c>
      <c r="H35" s="109"/>
      <c r="I35" s="110"/>
    </row>
    <row r="36" spans="1:9" x14ac:dyDescent="0.25">
      <c r="A36" s="46" t="s">
        <v>104</v>
      </c>
    </row>
    <row r="37" spans="1:9" ht="12.75" customHeight="1" x14ac:dyDescent="0.25">
      <c r="A37" s="100" t="s">
        <v>40</v>
      </c>
      <c r="B37" s="101"/>
      <c r="C37" s="101"/>
      <c r="D37" s="101"/>
      <c r="E37" s="101"/>
      <c r="F37" s="101"/>
      <c r="G37" s="101"/>
      <c r="H37" s="101"/>
      <c r="I37" s="101"/>
    </row>
  </sheetData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7"/>
  <sheetViews>
    <sheetView workbookViewId="0">
      <pane ySplit="11" topLeftCell="A12" activePane="bottomLeft" state="frozen"/>
      <selection pane="bottomLeft" activeCell="D2" sqref="D2:F3"/>
    </sheetView>
  </sheetViews>
  <sheetFormatPr defaultColWidth="12.140625" defaultRowHeight="15" customHeight="1" x14ac:dyDescent="0.25"/>
  <cols>
    <col min="1" max="1" width="7.5703125" customWidth="1"/>
    <col min="2" max="2" width="5.7109375" customWidth="1"/>
    <col min="3" max="8" width="15.7109375" customWidth="1"/>
    <col min="9" max="9" width="14.28515625" customWidth="1"/>
    <col min="10" max="13" width="12.140625" hidden="1"/>
  </cols>
  <sheetData>
    <row r="1" spans="1:13" ht="54.75" customHeight="1" x14ac:dyDescent="0.25">
      <c r="A1" s="142" t="s">
        <v>105</v>
      </c>
      <c r="B1" s="142"/>
      <c r="C1" s="142"/>
      <c r="D1" s="142"/>
      <c r="E1" s="142"/>
      <c r="F1" s="142"/>
      <c r="G1" s="142"/>
      <c r="H1" s="142"/>
      <c r="I1" s="142"/>
    </row>
    <row r="2" spans="1:13" x14ac:dyDescent="0.25">
      <c r="A2" s="143" t="s">
        <v>1</v>
      </c>
      <c r="B2" s="144"/>
      <c r="C2" s="144"/>
      <c r="D2" s="149" t="str">
        <f>'Stavební rozpočet-fólie'!D2</f>
        <v>Terasa - Zelený dům pohody Hodonín</v>
      </c>
      <c r="E2" s="150"/>
      <c r="F2" s="150"/>
      <c r="G2" s="140" t="s">
        <v>2</v>
      </c>
      <c r="H2" s="140" t="str">
        <f>'Stavební rozpočet-fólie'!H2</f>
        <v xml:space="preserve"> </v>
      </c>
      <c r="I2" s="144"/>
    </row>
    <row r="3" spans="1:13" ht="15" customHeight="1" x14ac:dyDescent="0.25">
      <c r="A3" s="145"/>
      <c r="B3" s="101"/>
      <c r="C3" s="101"/>
      <c r="D3" s="151"/>
      <c r="E3" s="151"/>
      <c r="F3" s="151"/>
      <c r="G3" s="101"/>
      <c r="H3" s="101"/>
      <c r="I3" s="101"/>
    </row>
    <row r="4" spans="1:13" x14ac:dyDescent="0.25">
      <c r="A4" s="138" t="s">
        <v>5</v>
      </c>
      <c r="B4" s="101"/>
      <c r="C4" s="101"/>
      <c r="D4" s="100" t="str">
        <f>'Stavební rozpočet-fólie'!D4</f>
        <v xml:space="preserve"> </v>
      </c>
      <c r="E4" s="101"/>
      <c r="F4" s="101"/>
      <c r="G4" s="100" t="s">
        <v>6</v>
      </c>
      <c r="H4" s="100"/>
      <c r="I4" s="101"/>
    </row>
    <row r="5" spans="1:13" ht="15" customHeight="1" x14ac:dyDescent="0.25">
      <c r="A5" s="145"/>
      <c r="B5" s="101"/>
      <c r="C5" s="101"/>
      <c r="D5" s="101"/>
      <c r="E5" s="101"/>
      <c r="F5" s="101"/>
      <c r="G5" s="101"/>
      <c r="H5" s="101"/>
      <c r="I5" s="101"/>
    </row>
    <row r="6" spans="1:13" x14ac:dyDescent="0.25">
      <c r="A6" s="138" t="s">
        <v>8</v>
      </c>
      <c r="B6" s="101"/>
      <c r="C6" s="101"/>
      <c r="D6" s="100" t="str">
        <f>'Stavební rozpočet-fólie'!D6</f>
        <v xml:space="preserve"> </v>
      </c>
      <c r="E6" s="101"/>
      <c r="F6" s="101"/>
      <c r="G6" s="100" t="s">
        <v>9</v>
      </c>
      <c r="H6" s="100" t="str">
        <f>'Stavební rozpočet-fólie'!H6</f>
        <v xml:space="preserve"> </v>
      </c>
      <c r="I6" s="101"/>
    </row>
    <row r="7" spans="1:13" ht="15" customHeight="1" x14ac:dyDescent="0.25">
      <c r="A7" s="145"/>
      <c r="B7" s="101"/>
      <c r="C7" s="101"/>
      <c r="D7" s="101"/>
      <c r="E7" s="101"/>
      <c r="F7" s="101"/>
      <c r="G7" s="101"/>
      <c r="H7" s="101"/>
      <c r="I7" s="101"/>
    </row>
    <row r="8" spans="1:13" x14ac:dyDescent="0.25">
      <c r="A8" s="138" t="s">
        <v>11</v>
      </c>
      <c r="B8" s="101"/>
      <c r="C8" s="101"/>
      <c r="D8" s="100" t="str">
        <f>'Stavební rozpočet-fólie'!D8</f>
        <v xml:space="preserve"> </v>
      </c>
      <c r="E8" s="101"/>
      <c r="F8" s="101"/>
      <c r="G8" s="100" t="s">
        <v>12</v>
      </c>
      <c r="H8" s="100"/>
      <c r="I8" s="101"/>
    </row>
    <row r="9" spans="1:13" x14ac:dyDescent="0.25">
      <c r="A9" s="159"/>
      <c r="B9" s="155"/>
      <c r="C9" s="155"/>
      <c r="D9" s="155"/>
      <c r="E9" s="155"/>
      <c r="F9" s="155"/>
      <c r="G9" s="155"/>
      <c r="H9" s="155"/>
      <c r="I9" s="155"/>
    </row>
    <row r="10" spans="1:13" x14ac:dyDescent="0.25">
      <c r="A10" s="30" t="s">
        <v>3</v>
      </c>
      <c r="B10" s="31" t="s">
        <v>3</v>
      </c>
      <c r="C10" s="156" t="s">
        <v>3</v>
      </c>
      <c r="D10" s="157"/>
      <c r="E10" s="157"/>
      <c r="F10" s="157"/>
      <c r="G10" s="157"/>
      <c r="H10" s="158"/>
      <c r="I10" s="9"/>
    </row>
    <row r="11" spans="1:13" ht="15.75" thickBot="1" x14ac:dyDescent="0.3">
      <c r="A11" s="85" t="s">
        <v>15</v>
      </c>
      <c r="B11" s="86" t="s">
        <v>16</v>
      </c>
      <c r="C11" s="152" t="s">
        <v>17</v>
      </c>
      <c r="D11" s="152"/>
      <c r="E11" s="152"/>
      <c r="F11" s="152"/>
      <c r="G11" s="152"/>
      <c r="H11" s="152"/>
      <c r="I11" s="87" t="s">
        <v>27</v>
      </c>
    </row>
    <row r="12" spans="1:13" x14ac:dyDescent="0.25">
      <c r="A12" s="88" t="s">
        <v>40</v>
      </c>
      <c r="B12" s="89" t="s">
        <v>41</v>
      </c>
      <c r="C12" s="153" t="s">
        <v>42</v>
      </c>
      <c r="D12" s="153"/>
      <c r="E12" s="153"/>
      <c r="F12" s="153"/>
      <c r="G12" s="153"/>
      <c r="H12" s="153"/>
      <c r="I12" s="90">
        <f>ROUND('Stavební rozpočet-fólie'!I12,2)</f>
        <v>0</v>
      </c>
      <c r="J12" s="32" t="s">
        <v>106</v>
      </c>
      <c r="K12" s="20">
        <f>IF(J12="F",0,I12)</f>
        <v>0</v>
      </c>
      <c r="L12" s="3" t="s">
        <v>40</v>
      </c>
      <c r="M12" s="20">
        <f>IF(J12="T",0,I12)</f>
        <v>0</v>
      </c>
    </row>
    <row r="13" spans="1:13" x14ac:dyDescent="0.25">
      <c r="A13" s="91" t="s">
        <v>40</v>
      </c>
      <c r="B13" s="57" t="s">
        <v>90</v>
      </c>
      <c r="C13" s="154" t="s">
        <v>91</v>
      </c>
      <c r="D13" s="154"/>
      <c r="E13" s="154"/>
      <c r="F13" s="154"/>
      <c r="G13" s="154"/>
      <c r="H13" s="154"/>
      <c r="I13" s="92">
        <f>ROUND('Stavební rozpočet-fólie'!I27,2)</f>
        <v>0</v>
      </c>
      <c r="J13" s="32" t="s">
        <v>106</v>
      </c>
      <c r="K13" s="20">
        <f>IF(J13="F",0,I13)</f>
        <v>0</v>
      </c>
      <c r="L13" s="3" t="s">
        <v>40</v>
      </c>
      <c r="M13" s="20">
        <f>IF(J13="T",0,I13)</f>
        <v>0</v>
      </c>
    </row>
    <row r="14" spans="1:13" ht="15.75" thickBot="1" x14ac:dyDescent="0.3">
      <c r="A14" s="93"/>
      <c r="B14" s="94">
        <v>63</v>
      </c>
      <c r="C14" s="94" t="s">
        <v>165</v>
      </c>
      <c r="D14" s="94"/>
      <c r="E14" s="94"/>
      <c r="F14" s="94"/>
      <c r="G14" s="94"/>
      <c r="H14" s="94"/>
      <c r="I14" s="95">
        <f>'Stavební rozpočet dlažby'!I22</f>
        <v>0</v>
      </c>
      <c r="J14" s="84"/>
      <c r="K14" s="83"/>
      <c r="L14" s="57"/>
      <c r="M14" s="83"/>
    </row>
    <row r="15" spans="1:13" x14ac:dyDescent="0.25">
      <c r="I15" s="28">
        <f>I12+I13+I14</f>
        <v>0</v>
      </c>
    </row>
    <row r="16" spans="1:13" x14ac:dyDescent="0.25">
      <c r="A16" s="29" t="s">
        <v>104</v>
      </c>
    </row>
    <row r="17" spans="1:9" ht="12.75" customHeight="1" x14ac:dyDescent="0.25">
      <c r="A17" s="100" t="s">
        <v>40</v>
      </c>
      <c r="B17" s="101"/>
      <c r="C17" s="101"/>
      <c r="D17" s="101"/>
      <c r="E17" s="101"/>
      <c r="F17" s="101"/>
      <c r="G17" s="101"/>
      <c r="H17" s="101"/>
      <c r="I17" s="101"/>
    </row>
  </sheetData>
  <mergeCells count="26">
    <mergeCell ref="A1:I1"/>
    <mergeCell ref="A2:C3"/>
    <mergeCell ref="A4:C5"/>
    <mergeCell ref="A6:C7"/>
    <mergeCell ref="A8:C9"/>
    <mergeCell ref="D2:F3"/>
    <mergeCell ref="D4:F5"/>
    <mergeCell ref="D6:F7"/>
    <mergeCell ref="D8:F9"/>
    <mergeCell ref="G2:G3"/>
    <mergeCell ref="G4:G5"/>
    <mergeCell ref="G6:G7"/>
    <mergeCell ref="G8:G9"/>
    <mergeCell ref="H2:H3"/>
    <mergeCell ref="H4:H5"/>
    <mergeCell ref="H6:H7"/>
    <mergeCell ref="A17:I17"/>
    <mergeCell ref="C11:H11"/>
    <mergeCell ref="C12:H12"/>
    <mergeCell ref="C13:H13"/>
    <mergeCell ref="I2:I3"/>
    <mergeCell ref="I4:I5"/>
    <mergeCell ref="I6:I7"/>
    <mergeCell ref="I8:I9"/>
    <mergeCell ref="C10:H10"/>
    <mergeCell ref="H8:H9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35"/>
  <sheetViews>
    <sheetView workbookViewId="0">
      <pane ySplit="11" topLeftCell="A12" activePane="bottomLeft" state="frozen"/>
      <selection pane="bottomLeft" activeCell="D4" sqref="D4:E5"/>
    </sheetView>
  </sheetViews>
  <sheetFormatPr defaultColWidth="12.140625" defaultRowHeight="15" customHeight="1" x14ac:dyDescent="0.25"/>
  <cols>
    <col min="1" max="1" width="4" customWidth="1"/>
    <col min="2" max="2" width="7.5703125" customWidth="1"/>
    <col min="3" max="3" width="17.85546875" customWidth="1"/>
    <col min="4" max="4" width="28.5703125" customWidth="1"/>
    <col min="5" max="5" width="35.7109375" customWidth="1"/>
    <col min="6" max="6" width="4.28515625" customWidth="1"/>
    <col min="7" max="7" width="12.85546875" customWidth="1"/>
    <col min="8" max="8" width="12" customWidth="1"/>
    <col min="9" max="9" width="15.7109375" customWidth="1"/>
    <col min="18" max="68" width="12.140625" hidden="1"/>
    <col min="69" max="69" width="64.28515625" hidden="1" customWidth="1"/>
    <col min="70" max="71" width="12.140625" hidden="1"/>
  </cols>
  <sheetData>
    <row r="1" spans="1:69" ht="54.75" customHeight="1" x14ac:dyDescent="0.2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AL1" s="1">
        <f>SUM(AC1:AC2)</f>
        <v>0</v>
      </c>
      <c r="AM1" s="1">
        <f>SUM(AD1:AD2)</f>
        <v>0</v>
      </c>
      <c r="AN1" s="1">
        <f>SUM(AE1:AE2)</f>
        <v>0</v>
      </c>
    </row>
    <row r="2" spans="1:69" x14ac:dyDescent="0.25">
      <c r="A2" s="143" t="s">
        <v>1</v>
      </c>
      <c r="B2" s="144"/>
      <c r="C2" s="144"/>
      <c r="D2" s="149" t="s">
        <v>202</v>
      </c>
      <c r="E2" s="150"/>
      <c r="F2" s="144" t="s">
        <v>2</v>
      </c>
      <c r="G2" s="144"/>
      <c r="H2" s="144" t="s">
        <v>3</v>
      </c>
      <c r="I2" s="144"/>
    </row>
    <row r="3" spans="1:69" x14ac:dyDescent="0.25">
      <c r="A3" s="145"/>
      <c r="B3" s="101"/>
      <c r="C3" s="101"/>
      <c r="D3" s="151"/>
      <c r="E3" s="151"/>
      <c r="F3" s="101"/>
      <c r="G3" s="101"/>
      <c r="H3" s="101"/>
      <c r="I3" s="101"/>
    </row>
    <row r="4" spans="1:69" x14ac:dyDescent="0.25">
      <c r="A4" s="138" t="s">
        <v>5</v>
      </c>
      <c r="B4" s="101"/>
      <c r="C4" s="101"/>
      <c r="D4" s="100" t="s">
        <v>3</v>
      </c>
      <c r="E4" s="101"/>
      <c r="F4" s="101" t="s">
        <v>6</v>
      </c>
      <c r="G4" s="101"/>
      <c r="H4" s="101"/>
      <c r="I4" s="101"/>
    </row>
    <row r="5" spans="1:69" x14ac:dyDescent="0.25">
      <c r="A5" s="145"/>
      <c r="B5" s="101"/>
      <c r="C5" s="101"/>
      <c r="D5" s="101"/>
      <c r="E5" s="101"/>
      <c r="F5" s="101"/>
      <c r="G5" s="101"/>
      <c r="H5" s="101"/>
      <c r="I5" s="101"/>
    </row>
    <row r="6" spans="1:69" x14ac:dyDescent="0.25">
      <c r="A6" s="138" t="s">
        <v>8</v>
      </c>
      <c r="B6" s="101"/>
      <c r="C6" s="101"/>
      <c r="D6" s="100" t="s">
        <v>3</v>
      </c>
      <c r="E6" s="101"/>
      <c r="F6" s="101" t="s">
        <v>9</v>
      </c>
      <c r="G6" s="101"/>
      <c r="H6" s="101" t="s">
        <v>3</v>
      </c>
      <c r="I6" s="101"/>
    </row>
    <row r="7" spans="1:69" x14ac:dyDescent="0.25">
      <c r="A7" s="145"/>
      <c r="B7" s="101"/>
      <c r="C7" s="101"/>
      <c r="D7" s="101"/>
      <c r="E7" s="101"/>
      <c r="F7" s="101"/>
      <c r="G7" s="101"/>
      <c r="H7" s="101"/>
      <c r="I7" s="101"/>
    </row>
    <row r="8" spans="1:69" x14ac:dyDescent="0.25">
      <c r="A8" s="138" t="s">
        <v>11</v>
      </c>
      <c r="B8" s="101"/>
      <c r="C8" s="101"/>
      <c r="D8" s="100" t="s">
        <v>3</v>
      </c>
      <c r="E8" s="101"/>
      <c r="F8" s="101" t="s">
        <v>12</v>
      </c>
      <c r="G8" s="101"/>
      <c r="H8" s="101"/>
      <c r="I8" s="101"/>
    </row>
    <row r="9" spans="1:69" x14ac:dyDescent="0.25">
      <c r="A9" s="159"/>
      <c r="B9" s="155"/>
      <c r="C9" s="155"/>
      <c r="D9" s="155"/>
      <c r="E9" s="155"/>
      <c r="F9" s="155"/>
      <c r="G9" s="155"/>
      <c r="H9" s="155"/>
      <c r="I9" s="155"/>
    </row>
    <row r="10" spans="1:69" x14ac:dyDescent="0.25">
      <c r="A10" s="5" t="s">
        <v>14</v>
      </c>
      <c r="B10" s="6" t="s">
        <v>15</v>
      </c>
      <c r="C10" s="6" t="s">
        <v>16</v>
      </c>
      <c r="D10" s="167" t="s">
        <v>17</v>
      </c>
      <c r="E10" s="168"/>
      <c r="F10" s="6" t="s">
        <v>18</v>
      </c>
      <c r="G10" s="7" t="s">
        <v>19</v>
      </c>
      <c r="H10" s="8" t="s">
        <v>20</v>
      </c>
      <c r="I10" s="9"/>
      <c r="BD10" s="10" t="s">
        <v>21</v>
      </c>
      <c r="BE10" s="11" t="s">
        <v>22</v>
      </c>
      <c r="BP10" s="11" t="s">
        <v>23</v>
      </c>
    </row>
    <row r="11" spans="1:69" x14ac:dyDescent="0.25">
      <c r="A11" s="12" t="s">
        <v>3</v>
      </c>
      <c r="B11" s="13" t="s">
        <v>3</v>
      </c>
      <c r="C11" s="13" t="s">
        <v>3</v>
      </c>
      <c r="D11" s="163" t="s">
        <v>24</v>
      </c>
      <c r="E11" s="164"/>
      <c r="F11" s="13" t="s">
        <v>3</v>
      </c>
      <c r="G11" s="13" t="s">
        <v>3</v>
      </c>
      <c r="H11" s="14" t="s">
        <v>25</v>
      </c>
      <c r="I11" s="15" t="s">
        <v>27</v>
      </c>
      <c r="S11" s="10" t="s">
        <v>28</v>
      </c>
      <c r="T11" s="10" t="s">
        <v>29</v>
      </c>
      <c r="U11" s="10" t="s">
        <v>30</v>
      </c>
      <c r="V11" s="10" t="s">
        <v>31</v>
      </c>
      <c r="W11" s="10" t="s">
        <v>32</v>
      </c>
      <c r="X11" s="10" t="s">
        <v>33</v>
      </c>
      <c r="Y11" s="10" t="s">
        <v>34</v>
      </c>
      <c r="Z11" s="10" t="s">
        <v>35</v>
      </c>
      <c r="AA11" s="10" t="s">
        <v>36</v>
      </c>
      <c r="BA11" s="10" t="s">
        <v>37</v>
      </c>
      <c r="BB11" s="10" t="s">
        <v>38</v>
      </c>
      <c r="BC11" s="10" t="s">
        <v>39</v>
      </c>
    </row>
    <row r="12" spans="1:69" x14ac:dyDescent="0.25">
      <c r="A12" s="16" t="s">
        <v>40</v>
      </c>
      <c r="B12" s="17" t="s">
        <v>40</v>
      </c>
      <c r="C12" s="17" t="s">
        <v>41</v>
      </c>
      <c r="D12" s="165" t="s">
        <v>42</v>
      </c>
      <c r="E12" s="166"/>
      <c r="F12" s="18" t="s">
        <v>3</v>
      </c>
      <c r="G12" s="18" t="s">
        <v>3</v>
      </c>
      <c r="H12" s="18" t="s">
        <v>3</v>
      </c>
      <c r="I12" s="19">
        <f>SUM(I13:I26)</f>
        <v>0</v>
      </c>
      <c r="AB12" s="10" t="s">
        <v>40</v>
      </c>
      <c r="AL12" s="1">
        <f>SUM(AC13:AC26)</f>
        <v>0</v>
      </c>
      <c r="AM12" s="1">
        <f>SUM(AD13:AD26)</f>
        <v>0</v>
      </c>
      <c r="AN12" s="1">
        <f>SUM(AE13:AE26)</f>
        <v>0</v>
      </c>
    </row>
    <row r="13" spans="1:69" x14ac:dyDescent="0.25">
      <c r="A13" s="2" t="s">
        <v>43</v>
      </c>
      <c r="B13" s="3" t="s">
        <v>40</v>
      </c>
      <c r="C13" s="3" t="s">
        <v>44</v>
      </c>
      <c r="D13" s="100" t="s">
        <v>45</v>
      </c>
      <c r="E13" s="101"/>
      <c r="F13" s="3" t="s">
        <v>46</v>
      </c>
      <c r="G13" s="20">
        <v>180</v>
      </c>
      <c r="H13" s="20"/>
      <c r="I13" s="20">
        <f t="shared" ref="I13:I26" si="0">ROUND(G13*H13,2)</f>
        <v>0</v>
      </c>
      <c r="S13" s="20">
        <f t="shared" ref="S13:S26" si="1">ROUND(IF(AJ13="5",BC13,0),2)</f>
        <v>0</v>
      </c>
      <c r="U13" s="20">
        <f t="shared" ref="U13:U26" si="2">ROUND(IF(AJ13="1",BA13,0),2)</f>
        <v>0</v>
      </c>
      <c r="V13" s="20">
        <f t="shared" ref="V13:V26" si="3">ROUND(IF(AJ13="1",BB13,0),2)</f>
        <v>0</v>
      </c>
      <c r="W13" s="20">
        <f t="shared" ref="W13:W26" si="4">ROUND(IF(AJ13="7",BA13,0),2)</f>
        <v>0</v>
      </c>
      <c r="X13" s="20">
        <f t="shared" ref="X13:X26" si="5">ROUND(IF(AJ13="7",BB13,0),2)</f>
        <v>0</v>
      </c>
      <c r="Y13" s="20">
        <f t="shared" ref="Y13:Y26" si="6">ROUND(IF(AJ13="2",BA13,0),2)</f>
        <v>0</v>
      </c>
      <c r="Z13" s="20">
        <f t="shared" ref="Z13:Z26" si="7">ROUND(IF(AJ13="2",BB13,0),2)</f>
        <v>0</v>
      </c>
      <c r="AA13" s="20">
        <f t="shared" ref="AA13:AA26" si="8">ROUND(IF(AJ13="0",BC13,0),2)</f>
        <v>0</v>
      </c>
      <c r="AB13" s="10" t="s">
        <v>40</v>
      </c>
      <c r="AC13" s="20">
        <f t="shared" ref="AC13:AC26" si="9">IF(AG13=0,I13,0)</f>
        <v>0</v>
      </c>
      <c r="AD13" s="20">
        <f t="shared" ref="AD13:AD26" si="10">IF(AG13=12,I13,0)</f>
        <v>0</v>
      </c>
      <c r="AE13" s="20">
        <f t="shared" ref="AE13:AE26" si="11">IF(AG13=21,I13,0)</f>
        <v>0</v>
      </c>
      <c r="AG13" s="20">
        <v>21</v>
      </c>
      <c r="AH13" s="20">
        <f>H13*0</f>
        <v>0</v>
      </c>
      <c r="AI13" s="20">
        <f>H13*(1-0)</f>
        <v>0</v>
      </c>
      <c r="AJ13" s="21" t="s">
        <v>47</v>
      </c>
      <c r="AO13" s="20">
        <f t="shared" ref="AO13:AO26" si="12">ROUND(AP13+AQ13,2)</f>
        <v>0</v>
      </c>
      <c r="AP13" s="20">
        <f t="shared" ref="AP13:AP26" si="13">ROUND(G13*AH13,2)</f>
        <v>0</v>
      </c>
      <c r="AQ13" s="20">
        <f t="shared" ref="AQ13:AQ26" si="14">ROUND(G13*AI13,2)</f>
        <v>0</v>
      </c>
      <c r="AR13" s="21" t="s">
        <v>48</v>
      </c>
      <c r="AS13" s="21" t="s">
        <v>49</v>
      </c>
      <c r="AT13" s="10" t="s">
        <v>50</v>
      </c>
      <c r="AV13" s="20">
        <f t="shared" ref="AV13:AV26" si="15">AP13+AQ13</f>
        <v>0</v>
      </c>
      <c r="AW13" s="20">
        <f t="shared" ref="AW13:AW26" si="16">H13/(100-AX13)*100</f>
        <v>0</v>
      </c>
      <c r="AX13" s="20">
        <v>0</v>
      </c>
      <c r="AY13" s="20" t="e">
        <f>#REF!</f>
        <v>#REF!</v>
      </c>
      <c r="BA13" s="20">
        <f t="shared" ref="BA13:BA26" si="17">G13*AH13</f>
        <v>0</v>
      </c>
      <c r="BB13" s="20">
        <f t="shared" ref="BB13:BB26" si="18">G13*AI13</f>
        <v>0</v>
      </c>
      <c r="BC13" s="20">
        <f t="shared" ref="BC13:BC26" si="19">G13*H13</f>
        <v>0</v>
      </c>
      <c r="BD13" s="21" t="s">
        <v>51</v>
      </c>
      <c r="BE13" s="20">
        <v>712</v>
      </c>
      <c r="BP13" s="20" t="e">
        <f>#REF!</f>
        <v>#REF!</v>
      </c>
      <c r="BQ13" s="4" t="s">
        <v>45</v>
      </c>
    </row>
    <row r="14" spans="1:69" x14ac:dyDescent="0.25">
      <c r="A14" s="2" t="s">
        <v>52</v>
      </c>
      <c r="B14" s="3" t="s">
        <v>40</v>
      </c>
      <c r="C14" s="3" t="s">
        <v>53</v>
      </c>
      <c r="D14" s="100" t="s">
        <v>54</v>
      </c>
      <c r="E14" s="101"/>
      <c r="F14" s="3" t="s">
        <v>46</v>
      </c>
      <c r="G14" s="20">
        <v>180</v>
      </c>
      <c r="H14" s="20"/>
      <c r="I14" s="20">
        <f t="shared" si="0"/>
        <v>0</v>
      </c>
      <c r="S14" s="20">
        <f t="shared" si="1"/>
        <v>0</v>
      </c>
      <c r="U14" s="20">
        <f t="shared" si="2"/>
        <v>0</v>
      </c>
      <c r="V14" s="20">
        <f t="shared" si="3"/>
        <v>0</v>
      </c>
      <c r="W14" s="20">
        <f t="shared" si="4"/>
        <v>0</v>
      </c>
      <c r="X14" s="20">
        <f t="shared" si="5"/>
        <v>0</v>
      </c>
      <c r="Y14" s="20">
        <f t="shared" si="6"/>
        <v>0</v>
      </c>
      <c r="Z14" s="20">
        <f t="shared" si="7"/>
        <v>0</v>
      </c>
      <c r="AA14" s="20">
        <f t="shared" si="8"/>
        <v>0</v>
      </c>
      <c r="AB14" s="10" t="s">
        <v>40</v>
      </c>
      <c r="AC14" s="20">
        <f t="shared" si="9"/>
        <v>0</v>
      </c>
      <c r="AD14" s="20">
        <f t="shared" si="10"/>
        <v>0</v>
      </c>
      <c r="AE14" s="20">
        <f t="shared" si="11"/>
        <v>0</v>
      </c>
      <c r="AG14" s="20">
        <v>21</v>
      </c>
      <c r="AH14" s="20">
        <f>H14*0.118705882</f>
        <v>0</v>
      </c>
      <c r="AI14" s="20">
        <f>H14*(1-0.118705882)</f>
        <v>0</v>
      </c>
      <c r="AJ14" s="21" t="s">
        <v>47</v>
      </c>
      <c r="AO14" s="20">
        <f t="shared" si="12"/>
        <v>0</v>
      </c>
      <c r="AP14" s="20">
        <f t="shared" si="13"/>
        <v>0</v>
      </c>
      <c r="AQ14" s="20">
        <f t="shared" si="14"/>
        <v>0</v>
      </c>
      <c r="AR14" s="21" t="s">
        <v>48</v>
      </c>
      <c r="AS14" s="21" t="s">
        <v>49</v>
      </c>
      <c r="AT14" s="10" t="s">
        <v>50</v>
      </c>
      <c r="AV14" s="20">
        <f t="shared" si="15"/>
        <v>0</v>
      </c>
      <c r="AW14" s="20">
        <f t="shared" si="16"/>
        <v>0</v>
      </c>
      <c r="AX14" s="20">
        <v>0</v>
      </c>
      <c r="AY14" s="20" t="e">
        <f>#REF!</f>
        <v>#REF!</v>
      </c>
      <c r="BA14" s="20">
        <f t="shared" si="17"/>
        <v>0</v>
      </c>
      <c r="BB14" s="20">
        <f t="shared" si="18"/>
        <v>0</v>
      </c>
      <c r="BC14" s="20">
        <f t="shared" si="19"/>
        <v>0</v>
      </c>
      <c r="BD14" s="21" t="s">
        <v>51</v>
      </c>
      <c r="BE14" s="20">
        <v>712</v>
      </c>
      <c r="BP14" s="20" t="e">
        <f>#REF!</f>
        <v>#REF!</v>
      </c>
      <c r="BQ14" s="4" t="s">
        <v>54</v>
      </c>
    </row>
    <row r="15" spans="1:69" x14ac:dyDescent="0.25">
      <c r="A15" s="2" t="s">
        <v>55</v>
      </c>
      <c r="B15" s="3" t="s">
        <v>40</v>
      </c>
      <c r="C15" s="3" t="s">
        <v>56</v>
      </c>
      <c r="D15" s="100" t="s">
        <v>57</v>
      </c>
      <c r="E15" s="101"/>
      <c r="F15" s="3" t="s">
        <v>46</v>
      </c>
      <c r="G15" s="20">
        <v>180</v>
      </c>
      <c r="H15" s="20"/>
      <c r="I15" s="20">
        <f t="shared" si="0"/>
        <v>0</v>
      </c>
      <c r="S15" s="20">
        <f t="shared" si="1"/>
        <v>0</v>
      </c>
      <c r="U15" s="20">
        <f t="shared" si="2"/>
        <v>0</v>
      </c>
      <c r="V15" s="20">
        <f t="shared" si="3"/>
        <v>0</v>
      </c>
      <c r="W15" s="20">
        <f t="shared" si="4"/>
        <v>0</v>
      </c>
      <c r="X15" s="20">
        <f t="shared" si="5"/>
        <v>0</v>
      </c>
      <c r="Y15" s="20">
        <f t="shared" si="6"/>
        <v>0</v>
      </c>
      <c r="Z15" s="20">
        <f t="shared" si="7"/>
        <v>0</v>
      </c>
      <c r="AA15" s="20">
        <f t="shared" si="8"/>
        <v>0</v>
      </c>
      <c r="AB15" s="10" t="s">
        <v>40</v>
      </c>
      <c r="AC15" s="20">
        <f t="shared" si="9"/>
        <v>0</v>
      </c>
      <c r="AD15" s="20">
        <f t="shared" si="10"/>
        <v>0</v>
      </c>
      <c r="AE15" s="20">
        <f t="shared" si="11"/>
        <v>0</v>
      </c>
      <c r="AG15" s="20">
        <v>21</v>
      </c>
      <c r="AH15" s="20">
        <f>H15*0</f>
        <v>0</v>
      </c>
      <c r="AI15" s="20">
        <f>H15*(1-0)</f>
        <v>0</v>
      </c>
      <c r="AJ15" s="21" t="s">
        <v>47</v>
      </c>
      <c r="AO15" s="20">
        <f t="shared" si="12"/>
        <v>0</v>
      </c>
      <c r="AP15" s="20">
        <f t="shared" si="13"/>
        <v>0</v>
      </c>
      <c r="AQ15" s="20">
        <f t="shared" si="14"/>
        <v>0</v>
      </c>
      <c r="AR15" s="21" t="s">
        <v>48</v>
      </c>
      <c r="AS15" s="21" t="s">
        <v>49</v>
      </c>
      <c r="AT15" s="10" t="s">
        <v>50</v>
      </c>
      <c r="AV15" s="20">
        <f t="shared" si="15"/>
        <v>0</v>
      </c>
      <c r="AW15" s="20">
        <f t="shared" si="16"/>
        <v>0</v>
      </c>
      <c r="AX15" s="20">
        <v>0</v>
      </c>
      <c r="AY15" s="20" t="e">
        <f>#REF!</f>
        <v>#REF!</v>
      </c>
      <c r="BA15" s="20">
        <f t="shared" si="17"/>
        <v>0</v>
      </c>
      <c r="BB15" s="20">
        <f t="shared" si="18"/>
        <v>0</v>
      </c>
      <c r="BC15" s="20">
        <f t="shared" si="19"/>
        <v>0</v>
      </c>
      <c r="BD15" s="21" t="s">
        <v>51</v>
      </c>
      <c r="BE15" s="20">
        <v>712</v>
      </c>
      <c r="BP15" s="20" t="e">
        <f>#REF!</f>
        <v>#REF!</v>
      </c>
      <c r="BQ15" s="4" t="s">
        <v>57</v>
      </c>
    </row>
    <row r="16" spans="1:69" x14ac:dyDescent="0.25">
      <c r="A16" s="2" t="s">
        <v>58</v>
      </c>
      <c r="B16" s="3" t="s">
        <v>40</v>
      </c>
      <c r="C16" s="3" t="s">
        <v>59</v>
      </c>
      <c r="D16" s="100" t="s">
        <v>60</v>
      </c>
      <c r="E16" s="101"/>
      <c r="F16" s="3" t="s">
        <v>46</v>
      </c>
      <c r="G16" s="20">
        <v>80</v>
      </c>
      <c r="H16" s="20"/>
      <c r="I16" s="20">
        <f t="shared" si="0"/>
        <v>0</v>
      </c>
      <c r="S16" s="20">
        <f t="shared" si="1"/>
        <v>0</v>
      </c>
      <c r="U16" s="20">
        <f t="shared" si="2"/>
        <v>0</v>
      </c>
      <c r="V16" s="20">
        <f t="shared" si="3"/>
        <v>0</v>
      </c>
      <c r="W16" s="20">
        <f t="shared" si="4"/>
        <v>0</v>
      </c>
      <c r="X16" s="20">
        <f t="shared" si="5"/>
        <v>0</v>
      </c>
      <c r="Y16" s="20">
        <f t="shared" si="6"/>
        <v>0</v>
      </c>
      <c r="Z16" s="20">
        <f t="shared" si="7"/>
        <v>0</v>
      </c>
      <c r="AA16" s="20">
        <f t="shared" si="8"/>
        <v>0</v>
      </c>
      <c r="AB16" s="10" t="s">
        <v>40</v>
      </c>
      <c r="AC16" s="20">
        <f t="shared" si="9"/>
        <v>0</v>
      </c>
      <c r="AD16" s="20">
        <f t="shared" si="10"/>
        <v>0</v>
      </c>
      <c r="AE16" s="20">
        <f t="shared" si="11"/>
        <v>0</v>
      </c>
      <c r="AG16" s="20">
        <v>21</v>
      </c>
      <c r="AH16" s="20">
        <f>H16*0.737163462</f>
        <v>0</v>
      </c>
      <c r="AI16" s="20">
        <f>H16*(1-0.737163462)</f>
        <v>0</v>
      </c>
      <c r="AJ16" s="21" t="s">
        <v>47</v>
      </c>
      <c r="AO16" s="20">
        <f t="shared" si="12"/>
        <v>0</v>
      </c>
      <c r="AP16" s="20">
        <f t="shared" si="13"/>
        <v>0</v>
      </c>
      <c r="AQ16" s="20">
        <f t="shared" si="14"/>
        <v>0</v>
      </c>
      <c r="AR16" s="21" t="s">
        <v>48</v>
      </c>
      <c r="AS16" s="21" t="s">
        <v>49</v>
      </c>
      <c r="AT16" s="10" t="s">
        <v>50</v>
      </c>
      <c r="AV16" s="20">
        <f t="shared" si="15"/>
        <v>0</v>
      </c>
      <c r="AW16" s="20">
        <f t="shared" si="16"/>
        <v>0</v>
      </c>
      <c r="AX16" s="20">
        <v>0</v>
      </c>
      <c r="AY16" s="20" t="e">
        <f>#REF!</f>
        <v>#REF!</v>
      </c>
      <c r="BA16" s="20">
        <f t="shared" si="17"/>
        <v>0</v>
      </c>
      <c r="BB16" s="20">
        <f t="shared" si="18"/>
        <v>0</v>
      </c>
      <c r="BC16" s="20">
        <f t="shared" si="19"/>
        <v>0</v>
      </c>
      <c r="BD16" s="21" t="s">
        <v>51</v>
      </c>
      <c r="BE16" s="20">
        <v>712</v>
      </c>
      <c r="BP16" s="20" t="e">
        <f>#REF!</f>
        <v>#REF!</v>
      </c>
      <c r="BQ16" s="4" t="s">
        <v>60</v>
      </c>
    </row>
    <row r="17" spans="1:69" x14ac:dyDescent="0.25">
      <c r="A17" s="2" t="s">
        <v>61</v>
      </c>
      <c r="B17" s="3" t="s">
        <v>40</v>
      </c>
      <c r="C17" s="3" t="s">
        <v>62</v>
      </c>
      <c r="D17" s="100" t="s">
        <v>63</v>
      </c>
      <c r="E17" s="101"/>
      <c r="F17" s="3" t="s">
        <v>64</v>
      </c>
      <c r="G17" s="20">
        <v>180</v>
      </c>
      <c r="H17" s="20"/>
      <c r="I17" s="20">
        <f t="shared" si="0"/>
        <v>0</v>
      </c>
      <c r="S17" s="20">
        <f t="shared" si="1"/>
        <v>0</v>
      </c>
      <c r="U17" s="20">
        <f t="shared" si="2"/>
        <v>0</v>
      </c>
      <c r="V17" s="20">
        <f t="shared" si="3"/>
        <v>0</v>
      </c>
      <c r="W17" s="20">
        <f t="shared" si="4"/>
        <v>0</v>
      </c>
      <c r="X17" s="20">
        <f t="shared" si="5"/>
        <v>0</v>
      </c>
      <c r="Y17" s="20">
        <f t="shared" si="6"/>
        <v>0</v>
      </c>
      <c r="Z17" s="20">
        <f t="shared" si="7"/>
        <v>0</v>
      </c>
      <c r="AA17" s="20">
        <f t="shared" si="8"/>
        <v>0</v>
      </c>
      <c r="AB17" s="10" t="s">
        <v>40</v>
      </c>
      <c r="AC17" s="20">
        <f t="shared" si="9"/>
        <v>0</v>
      </c>
      <c r="AD17" s="20">
        <f t="shared" si="10"/>
        <v>0</v>
      </c>
      <c r="AE17" s="20">
        <f t="shared" si="11"/>
        <v>0</v>
      </c>
      <c r="AG17" s="20">
        <v>21</v>
      </c>
      <c r="AH17" s="20">
        <f>H17*0.27965812</f>
        <v>0</v>
      </c>
      <c r="AI17" s="20">
        <f>H17*(1-0.27965812)</f>
        <v>0</v>
      </c>
      <c r="AJ17" s="21" t="s">
        <v>47</v>
      </c>
      <c r="AO17" s="20">
        <f t="shared" si="12"/>
        <v>0</v>
      </c>
      <c r="AP17" s="20">
        <f t="shared" si="13"/>
        <v>0</v>
      </c>
      <c r="AQ17" s="20">
        <f t="shared" si="14"/>
        <v>0</v>
      </c>
      <c r="AR17" s="21" t="s">
        <v>48</v>
      </c>
      <c r="AS17" s="21" t="s">
        <v>49</v>
      </c>
      <c r="AT17" s="10" t="s">
        <v>50</v>
      </c>
      <c r="AV17" s="20">
        <f t="shared" si="15"/>
        <v>0</v>
      </c>
      <c r="AW17" s="20">
        <f t="shared" si="16"/>
        <v>0</v>
      </c>
      <c r="AX17" s="20">
        <v>0</v>
      </c>
      <c r="AY17" s="20" t="e">
        <f>#REF!</f>
        <v>#REF!</v>
      </c>
      <c r="BA17" s="20">
        <f t="shared" si="17"/>
        <v>0</v>
      </c>
      <c r="BB17" s="20">
        <f t="shared" si="18"/>
        <v>0</v>
      </c>
      <c r="BC17" s="20">
        <f t="shared" si="19"/>
        <v>0</v>
      </c>
      <c r="BD17" s="21" t="s">
        <v>51</v>
      </c>
      <c r="BE17" s="20">
        <v>712</v>
      </c>
      <c r="BP17" s="20" t="e">
        <f>#REF!</f>
        <v>#REF!</v>
      </c>
      <c r="BQ17" s="4" t="s">
        <v>63</v>
      </c>
    </row>
    <row r="18" spans="1:69" x14ac:dyDescent="0.25">
      <c r="A18" s="2" t="s">
        <v>65</v>
      </c>
      <c r="B18" s="3" t="s">
        <v>40</v>
      </c>
      <c r="C18" s="3" t="s">
        <v>66</v>
      </c>
      <c r="D18" s="100" t="s">
        <v>197</v>
      </c>
      <c r="E18" s="101"/>
      <c r="F18" s="3" t="s">
        <v>46</v>
      </c>
      <c r="G18" s="20">
        <v>80</v>
      </c>
      <c r="H18" s="20"/>
      <c r="I18" s="20">
        <f t="shared" si="0"/>
        <v>0</v>
      </c>
      <c r="S18" s="20">
        <f t="shared" si="1"/>
        <v>0</v>
      </c>
      <c r="U18" s="20">
        <f t="shared" si="2"/>
        <v>0</v>
      </c>
      <c r="V18" s="20">
        <f t="shared" si="3"/>
        <v>0</v>
      </c>
      <c r="W18" s="20">
        <f t="shared" si="4"/>
        <v>0</v>
      </c>
      <c r="X18" s="20">
        <f t="shared" si="5"/>
        <v>0</v>
      </c>
      <c r="Y18" s="20">
        <f t="shared" si="6"/>
        <v>0</v>
      </c>
      <c r="Z18" s="20">
        <f t="shared" si="7"/>
        <v>0</v>
      </c>
      <c r="AA18" s="20">
        <f t="shared" si="8"/>
        <v>0</v>
      </c>
      <c r="AB18" s="10" t="s">
        <v>40</v>
      </c>
      <c r="AC18" s="20">
        <f t="shared" si="9"/>
        <v>0</v>
      </c>
      <c r="AD18" s="20">
        <f t="shared" si="10"/>
        <v>0</v>
      </c>
      <c r="AE18" s="20">
        <f t="shared" si="11"/>
        <v>0</v>
      </c>
      <c r="AG18" s="20">
        <v>21</v>
      </c>
      <c r="AH18" s="20">
        <f>H18*1</f>
        <v>0</v>
      </c>
      <c r="AI18" s="20">
        <f>H18*(1-1)</f>
        <v>0</v>
      </c>
      <c r="AJ18" s="21" t="s">
        <v>47</v>
      </c>
      <c r="AO18" s="20">
        <f t="shared" si="12"/>
        <v>0</v>
      </c>
      <c r="AP18" s="20">
        <f t="shared" si="13"/>
        <v>0</v>
      </c>
      <c r="AQ18" s="20">
        <f t="shared" si="14"/>
        <v>0</v>
      </c>
      <c r="AR18" s="21" t="s">
        <v>48</v>
      </c>
      <c r="AS18" s="21" t="s">
        <v>49</v>
      </c>
      <c r="AT18" s="10" t="s">
        <v>50</v>
      </c>
      <c r="AV18" s="20">
        <f t="shared" si="15"/>
        <v>0</v>
      </c>
      <c r="AW18" s="20">
        <f t="shared" si="16"/>
        <v>0</v>
      </c>
      <c r="AX18" s="20">
        <v>0</v>
      </c>
      <c r="AY18" s="20" t="e">
        <f>#REF!</f>
        <v>#REF!</v>
      </c>
      <c r="BA18" s="20">
        <f t="shared" si="17"/>
        <v>0</v>
      </c>
      <c r="BB18" s="20">
        <f t="shared" si="18"/>
        <v>0</v>
      </c>
      <c r="BC18" s="20">
        <f t="shared" si="19"/>
        <v>0</v>
      </c>
      <c r="BD18" s="21" t="s">
        <v>68</v>
      </c>
      <c r="BE18" s="20">
        <v>712</v>
      </c>
      <c r="BP18" s="20" t="e">
        <f>#REF!</f>
        <v>#REF!</v>
      </c>
      <c r="BQ18" s="4" t="s">
        <v>67</v>
      </c>
    </row>
    <row r="19" spans="1:69" x14ac:dyDescent="0.25">
      <c r="A19" s="2" t="s">
        <v>47</v>
      </c>
      <c r="B19" s="3" t="s">
        <v>40</v>
      </c>
      <c r="C19" s="3" t="s">
        <v>69</v>
      </c>
      <c r="D19" s="100" t="s">
        <v>201</v>
      </c>
      <c r="E19" s="101"/>
      <c r="F19" s="3" t="s">
        <v>46</v>
      </c>
      <c r="G19" s="20">
        <v>200</v>
      </c>
      <c r="H19" s="20"/>
      <c r="I19" s="20">
        <f t="shared" si="0"/>
        <v>0</v>
      </c>
      <c r="S19" s="20">
        <f t="shared" si="1"/>
        <v>0</v>
      </c>
      <c r="U19" s="20">
        <f t="shared" si="2"/>
        <v>0</v>
      </c>
      <c r="V19" s="20">
        <f t="shared" si="3"/>
        <v>0</v>
      </c>
      <c r="W19" s="20">
        <f t="shared" si="4"/>
        <v>0</v>
      </c>
      <c r="X19" s="20">
        <f t="shared" si="5"/>
        <v>0</v>
      </c>
      <c r="Y19" s="20">
        <f t="shared" si="6"/>
        <v>0</v>
      </c>
      <c r="Z19" s="20">
        <f t="shared" si="7"/>
        <v>0</v>
      </c>
      <c r="AA19" s="20">
        <f t="shared" si="8"/>
        <v>0</v>
      </c>
      <c r="AB19" s="10" t="s">
        <v>40</v>
      </c>
      <c r="AC19" s="20">
        <f t="shared" si="9"/>
        <v>0</v>
      </c>
      <c r="AD19" s="20">
        <f t="shared" si="10"/>
        <v>0</v>
      </c>
      <c r="AE19" s="20">
        <f t="shared" si="11"/>
        <v>0</v>
      </c>
      <c r="AG19" s="20">
        <v>21</v>
      </c>
      <c r="AH19" s="20">
        <f>H19*1</f>
        <v>0</v>
      </c>
      <c r="AI19" s="20">
        <f>H19*(1-1)</f>
        <v>0</v>
      </c>
      <c r="AJ19" s="21" t="s">
        <v>47</v>
      </c>
      <c r="AO19" s="20">
        <f t="shared" si="12"/>
        <v>0</v>
      </c>
      <c r="AP19" s="20">
        <f t="shared" si="13"/>
        <v>0</v>
      </c>
      <c r="AQ19" s="20">
        <f t="shared" si="14"/>
        <v>0</v>
      </c>
      <c r="AR19" s="21" t="s">
        <v>48</v>
      </c>
      <c r="AS19" s="21" t="s">
        <v>49</v>
      </c>
      <c r="AT19" s="10" t="s">
        <v>50</v>
      </c>
      <c r="AV19" s="20">
        <f t="shared" si="15"/>
        <v>0</v>
      </c>
      <c r="AW19" s="20">
        <f t="shared" si="16"/>
        <v>0</v>
      </c>
      <c r="AX19" s="20">
        <v>0</v>
      </c>
      <c r="AY19" s="20" t="e">
        <f>#REF!</f>
        <v>#REF!</v>
      </c>
      <c r="BA19" s="20">
        <f t="shared" si="17"/>
        <v>0</v>
      </c>
      <c r="BB19" s="20">
        <f t="shared" si="18"/>
        <v>0</v>
      </c>
      <c r="BC19" s="20">
        <f t="shared" si="19"/>
        <v>0</v>
      </c>
      <c r="BD19" s="21" t="s">
        <v>68</v>
      </c>
      <c r="BE19" s="20">
        <v>712</v>
      </c>
      <c r="BP19" s="20" t="e">
        <f>#REF!</f>
        <v>#REF!</v>
      </c>
      <c r="BQ19" s="4" t="s">
        <v>70</v>
      </c>
    </row>
    <row r="20" spans="1:69" x14ac:dyDescent="0.25">
      <c r="A20" s="2" t="s">
        <v>71</v>
      </c>
      <c r="B20" s="3" t="s">
        <v>40</v>
      </c>
      <c r="C20" s="3" t="s">
        <v>72</v>
      </c>
      <c r="D20" s="100" t="s">
        <v>198</v>
      </c>
      <c r="E20" s="101"/>
      <c r="F20" s="3" t="s">
        <v>46</v>
      </c>
      <c r="G20" s="20">
        <v>200</v>
      </c>
      <c r="H20" s="20"/>
      <c r="I20" s="20">
        <f t="shared" si="0"/>
        <v>0</v>
      </c>
      <c r="S20" s="20">
        <f t="shared" si="1"/>
        <v>0</v>
      </c>
      <c r="U20" s="20">
        <f t="shared" si="2"/>
        <v>0</v>
      </c>
      <c r="V20" s="20">
        <f t="shared" si="3"/>
        <v>0</v>
      </c>
      <c r="W20" s="20">
        <f t="shared" si="4"/>
        <v>0</v>
      </c>
      <c r="X20" s="20">
        <f t="shared" si="5"/>
        <v>0</v>
      </c>
      <c r="Y20" s="20">
        <f t="shared" si="6"/>
        <v>0</v>
      </c>
      <c r="Z20" s="20">
        <f t="shared" si="7"/>
        <v>0</v>
      </c>
      <c r="AA20" s="20">
        <f t="shared" si="8"/>
        <v>0</v>
      </c>
      <c r="AB20" s="10" t="s">
        <v>40</v>
      </c>
      <c r="AC20" s="20">
        <f t="shared" si="9"/>
        <v>0</v>
      </c>
      <c r="AD20" s="20">
        <f t="shared" si="10"/>
        <v>0</v>
      </c>
      <c r="AE20" s="20">
        <f t="shared" si="11"/>
        <v>0</v>
      </c>
      <c r="AG20" s="20">
        <v>21</v>
      </c>
      <c r="AH20" s="20">
        <f>H20*1</f>
        <v>0</v>
      </c>
      <c r="AI20" s="20">
        <f>H20*(1-1)</f>
        <v>0</v>
      </c>
      <c r="AJ20" s="21" t="s">
        <v>47</v>
      </c>
      <c r="AO20" s="20">
        <f t="shared" si="12"/>
        <v>0</v>
      </c>
      <c r="AP20" s="20">
        <f t="shared" si="13"/>
        <v>0</v>
      </c>
      <c r="AQ20" s="20">
        <f t="shared" si="14"/>
        <v>0</v>
      </c>
      <c r="AR20" s="21" t="s">
        <v>48</v>
      </c>
      <c r="AS20" s="21" t="s">
        <v>49</v>
      </c>
      <c r="AT20" s="10" t="s">
        <v>50</v>
      </c>
      <c r="AV20" s="20">
        <f t="shared" si="15"/>
        <v>0</v>
      </c>
      <c r="AW20" s="20">
        <f t="shared" si="16"/>
        <v>0</v>
      </c>
      <c r="AX20" s="20">
        <v>0</v>
      </c>
      <c r="AY20" s="20" t="e">
        <f>#REF!</f>
        <v>#REF!</v>
      </c>
      <c r="BA20" s="20">
        <f t="shared" si="17"/>
        <v>0</v>
      </c>
      <c r="BB20" s="20">
        <f t="shared" si="18"/>
        <v>0</v>
      </c>
      <c r="BC20" s="20">
        <f t="shared" si="19"/>
        <v>0</v>
      </c>
      <c r="BD20" s="21" t="s">
        <v>68</v>
      </c>
      <c r="BE20" s="20">
        <v>712</v>
      </c>
      <c r="BP20" s="20" t="e">
        <f>#REF!</f>
        <v>#REF!</v>
      </c>
      <c r="BQ20" s="4" t="s">
        <v>73</v>
      </c>
    </row>
    <row r="21" spans="1:69" x14ac:dyDescent="0.25">
      <c r="A21" s="2" t="s">
        <v>74</v>
      </c>
      <c r="B21" s="3" t="s">
        <v>40</v>
      </c>
      <c r="C21" s="3" t="s">
        <v>75</v>
      </c>
      <c r="D21" s="100" t="s">
        <v>76</v>
      </c>
      <c r="E21" s="101"/>
      <c r="F21" s="3" t="s">
        <v>64</v>
      </c>
      <c r="G21" s="20">
        <v>900</v>
      </c>
      <c r="H21" s="20"/>
      <c r="I21" s="20">
        <f t="shared" si="0"/>
        <v>0</v>
      </c>
      <c r="S21" s="20">
        <f t="shared" si="1"/>
        <v>0</v>
      </c>
      <c r="U21" s="20">
        <f t="shared" si="2"/>
        <v>0</v>
      </c>
      <c r="V21" s="20">
        <f t="shared" si="3"/>
        <v>0</v>
      </c>
      <c r="W21" s="20">
        <f t="shared" si="4"/>
        <v>0</v>
      </c>
      <c r="X21" s="20">
        <f t="shared" si="5"/>
        <v>0</v>
      </c>
      <c r="Y21" s="20">
        <f t="shared" si="6"/>
        <v>0</v>
      </c>
      <c r="Z21" s="20">
        <f t="shared" si="7"/>
        <v>0</v>
      </c>
      <c r="AA21" s="20">
        <f t="shared" si="8"/>
        <v>0</v>
      </c>
      <c r="AB21" s="10" t="s">
        <v>40</v>
      </c>
      <c r="AC21" s="20">
        <f t="shared" si="9"/>
        <v>0</v>
      </c>
      <c r="AD21" s="20">
        <f t="shared" si="10"/>
        <v>0</v>
      </c>
      <c r="AE21" s="20">
        <f t="shared" si="11"/>
        <v>0</v>
      </c>
      <c r="AG21" s="20">
        <v>21</v>
      </c>
      <c r="AH21" s="20">
        <f>H21*1</f>
        <v>0</v>
      </c>
      <c r="AI21" s="20">
        <f>H21*(1-1)</f>
        <v>0</v>
      </c>
      <c r="AJ21" s="21" t="s">
        <v>47</v>
      </c>
      <c r="AO21" s="20">
        <f t="shared" si="12"/>
        <v>0</v>
      </c>
      <c r="AP21" s="20">
        <f t="shared" si="13"/>
        <v>0</v>
      </c>
      <c r="AQ21" s="20">
        <f t="shared" si="14"/>
        <v>0</v>
      </c>
      <c r="AR21" s="21" t="s">
        <v>48</v>
      </c>
      <c r="AS21" s="21" t="s">
        <v>49</v>
      </c>
      <c r="AT21" s="10" t="s">
        <v>50</v>
      </c>
      <c r="AV21" s="20">
        <f t="shared" si="15"/>
        <v>0</v>
      </c>
      <c r="AW21" s="20">
        <f t="shared" si="16"/>
        <v>0</v>
      </c>
      <c r="AX21" s="20">
        <v>0</v>
      </c>
      <c r="AY21" s="20" t="e">
        <f>#REF!</f>
        <v>#REF!</v>
      </c>
      <c r="BA21" s="20">
        <f t="shared" si="17"/>
        <v>0</v>
      </c>
      <c r="BB21" s="20">
        <f t="shared" si="18"/>
        <v>0</v>
      </c>
      <c r="BC21" s="20">
        <f t="shared" si="19"/>
        <v>0</v>
      </c>
      <c r="BD21" s="21" t="s">
        <v>68</v>
      </c>
      <c r="BE21" s="20">
        <v>712</v>
      </c>
      <c r="BP21" s="20" t="e">
        <f>#REF!</f>
        <v>#REF!</v>
      </c>
      <c r="BQ21" s="4" t="s">
        <v>76</v>
      </c>
    </row>
    <row r="22" spans="1:69" x14ac:dyDescent="0.25">
      <c r="A22" s="2" t="s">
        <v>77</v>
      </c>
      <c r="B22" s="3" t="s">
        <v>40</v>
      </c>
      <c r="C22" s="3" t="s">
        <v>78</v>
      </c>
      <c r="D22" s="100" t="s">
        <v>199</v>
      </c>
      <c r="E22" s="101"/>
      <c r="F22" s="3" t="s">
        <v>80</v>
      </c>
      <c r="G22" s="20">
        <v>65</v>
      </c>
      <c r="H22" s="20"/>
      <c r="I22" s="20">
        <f t="shared" si="0"/>
        <v>0</v>
      </c>
      <c r="S22" s="20">
        <f t="shared" si="1"/>
        <v>0</v>
      </c>
      <c r="U22" s="20">
        <f t="shared" si="2"/>
        <v>0</v>
      </c>
      <c r="V22" s="20">
        <f t="shared" si="3"/>
        <v>0</v>
      </c>
      <c r="W22" s="20">
        <f t="shared" si="4"/>
        <v>0</v>
      </c>
      <c r="X22" s="20">
        <f t="shared" si="5"/>
        <v>0</v>
      </c>
      <c r="Y22" s="20">
        <f t="shared" si="6"/>
        <v>0</v>
      </c>
      <c r="Z22" s="20">
        <f t="shared" si="7"/>
        <v>0</v>
      </c>
      <c r="AA22" s="20">
        <f t="shared" si="8"/>
        <v>0</v>
      </c>
      <c r="AB22" s="10" t="s">
        <v>40</v>
      </c>
      <c r="AC22" s="20">
        <f t="shared" si="9"/>
        <v>0</v>
      </c>
      <c r="AD22" s="20">
        <f t="shared" si="10"/>
        <v>0</v>
      </c>
      <c r="AE22" s="20">
        <f t="shared" si="11"/>
        <v>0</v>
      </c>
      <c r="AG22" s="20">
        <v>21</v>
      </c>
      <c r="AH22" s="20">
        <f>H22*0.454911243</f>
        <v>0</v>
      </c>
      <c r="AI22" s="20">
        <f>H22*(1-0.454911243)</f>
        <v>0</v>
      </c>
      <c r="AJ22" s="21" t="s">
        <v>47</v>
      </c>
      <c r="AO22" s="20">
        <f t="shared" si="12"/>
        <v>0</v>
      </c>
      <c r="AP22" s="20">
        <f t="shared" si="13"/>
        <v>0</v>
      </c>
      <c r="AQ22" s="20">
        <f t="shared" si="14"/>
        <v>0</v>
      </c>
      <c r="AR22" s="21" t="s">
        <v>48</v>
      </c>
      <c r="AS22" s="21" t="s">
        <v>49</v>
      </c>
      <c r="AT22" s="10" t="s">
        <v>50</v>
      </c>
      <c r="AV22" s="20">
        <f t="shared" si="15"/>
        <v>0</v>
      </c>
      <c r="AW22" s="20">
        <f t="shared" si="16"/>
        <v>0</v>
      </c>
      <c r="AX22" s="20">
        <v>0</v>
      </c>
      <c r="AY22" s="20" t="e">
        <f>#REF!</f>
        <v>#REF!</v>
      </c>
      <c r="BA22" s="20">
        <f t="shared" si="17"/>
        <v>0</v>
      </c>
      <c r="BB22" s="20">
        <f t="shared" si="18"/>
        <v>0</v>
      </c>
      <c r="BC22" s="20">
        <f t="shared" si="19"/>
        <v>0</v>
      </c>
      <c r="BD22" s="21" t="s">
        <v>51</v>
      </c>
      <c r="BE22" s="20">
        <v>712</v>
      </c>
      <c r="BP22" s="20" t="e">
        <f>#REF!</f>
        <v>#REF!</v>
      </c>
      <c r="BQ22" s="4" t="s">
        <v>79</v>
      </c>
    </row>
    <row r="23" spans="1:69" x14ac:dyDescent="0.25">
      <c r="A23" s="2" t="s">
        <v>81</v>
      </c>
      <c r="B23" s="3" t="s">
        <v>40</v>
      </c>
      <c r="C23" s="3" t="s">
        <v>82</v>
      </c>
      <c r="D23" s="100" t="s">
        <v>200</v>
      </c>
      <c r="E23" s="101"/>
      <c r="F23" s="3" t="s">
        <v>80</v>
      </c>
      <c r="G23" s="20">
        <v>65</v>
      </c>
      <c r="H23" s="20"/>
      <c r="I23" s="20">
        <f t="shared" si="0"/>
        <v>0</v>
      </c>
      <c r="S23" s="20">
        <f t="shared" si="1"/>
        <v>0</v>
      </c>
      <c r="U23" s="20">
        <f t="shared" si="2"/>
        <v>0</v>
      </c>
      <c r="V23" s="20">
        <f t="shared" si="3"/>
        <v>0</v>
      </c>
      <c r="W23" s="20">
        <f t="shared" si="4"/>
        <v>0</v>
      </c>
      <c r="X23" s="20">
        <f t="shared" si="5"/>
        <v>0</v>
      </c>
      <c r="Y23" s="20">
        <f t="shared" si="6"/>
        <v>0</v>
      </c>
      <c r="Z23" s="20">
        <f t="shared" si="7"/>
        <v>0</v>
      </c>
      <c r="AA23" s="20">
        <f t="shared" si="8"/>
        <v>0</v>
      </c>
      <c r="AB23" s="10" t="s">
        <v>40</v>
      </c>
      <c r="AC23" s="20">
        <f t="shared" si="9"/>
        <v>0</v>
      </c>
      <c r="AD23" s="20">
        <f t="shared" si="10"/>
        <v>0</v>
      </c>
      <c r="AE23" s="20">
        <f t="shared" si="11"/>
        <v>0</v>
      </c>
      <c r="AG23" s="20">
        <v>21</v>
      </c>
      <c r="AH23" s="20">
        <f>H23*0.305082418</f>
        <v>0</v>
      </c>
      <c r="AI23" s="20">
        <f>H23*(1-0.305082418)</f>
        <v>0</v>
      </c>
      <c r="AJ23" s="21" t="s">
        <v>47</v>
      </c>
      <c r="AO23" s="20">
        <f t="shared" si="12"/>
        <v>0</v>
      </c>
      <c r="AP23" s="20">
        <f t="shared" si="13"/>
        <v>0</v>
      </c>
      <c r="AQ23" s="20">
        <f t="shared" si="14"/>
        <v>0</v>
      </c>
      <c r="AR23" s="21" t="s">
        <v>48</v>
      </c>
      <c r="AS23" s="21" t="s">
        <v>49</v>
      </c>
      <c r="AT23" s="10" t="s">
        <v>50</v>
      </c>
      <c r="AV23" s="20">
        <f t="shared" si="15"/>
        <v>0</v>
      </c>
      <c r="AW23" s="20">
        <f t="shared" si="16"/>
        <v>0</v>
      </c>
      <c r="AX23" s="20">
        <v>0</v>
      </c>
      <c r="AY23" s="20" t="e">
        <f>#REF!</f>
        <v>#REF!</v>
      </c>
      <c r="BA23" s="20">
        <f t="shared" si="17"/>
        <v>0</v>
      </c>
      <c r="BB23" s="20">
        <f t="shared" si="18"/>
        <v>0</v>
      </c>
      <c r="BC23" s="20">
        <f t="shared" si="19"/>
        <v>0</v>
      </c>
      <c r="BD23" s="21" t="s">
        <v>51</v>
      </c>
      <c r="BE23" s="20">
        <v>712</v>
      </c>
      <c r="BP23" s="20" t="e">
        <f>#REF!</f>
        <v>#REF!</v>
      </c>
      <c r="BQ23" s="4" t="s">
        <v>83</v>
      </c>
    </row>
    <row r="24" spans="1:69" x14ac:dyDescent="0.25">
      <c r="A24" s="2" t="s">
        <v>84</v>
      </c>
      <c r="B24" s="3" t="s">
        <v>40</v>
      </c>
      <c r="C24" s="3" t="s">
        <v>85</v>
      </c>
      <c r="D24" s="100" t="s">
        <v>195</v>
      </c>
      <c r="E24" s="101"/>
      <c r="F24" s="3" t="s">
        <v>64</v>
      </c>
      <c r="G24" s="20">
        <v>1</v>
      </c>
      <c r="H24" s="20"/>
      <c r="I24" s="20">
        <f t="shared" si="0"/>
        <v>0</v>
      </c>
      <c r="S24" s="20">
        <f t="shared" si="1"/>
        <v>0</v>
      </c>
      <c r="U24" s="20">
        <f t="shared" si="2"/>
        <v>0</v>
      </c>
      <c r="V24" s="20">
        <f t="shared" si="3"/>
        <v>0</v>
      </c>
      <c r="W24" s="20">
        <f t="shared" si="4"/>
        <v>0</v>
      </c>
      <c r="X24" s="20">
        <f t="shared" si="5"/>
        <v>0</v>
      </c>
      <c r="Y24" s="20">
        <f t="shared" si="6"/>
        <v>0</v>
      </c>
      <c r="Z24" s="20">
        <f t="shared" si="7"/>
        <v>0</v>
      </c>
      <c r="AA24" s="20">
        <f t="shared" si="8"/>
        <v>0</v>
      </c>
      <c r="AB24" s="10" t="s">
        <v>40</v>
      </c>
      <c r="AC24" s="20">
        <f t="shared" si="9"/>
        <v>0</v>
      </c>
      <c r="AD24" s="20">
        <f t="shared" si="10"/>
        <v>0</v>
      </c>
      <c r="AE24" s="20">
        <f t="shared" si="11"/>
        <v>0</v>
      </c>
      <c r="AG24" s="20">
        <v>21</v>
      </c>
      <c r="AH24" s="20">
        <f>H24*0</f>
        <v>0</v>
      </c>
      <c r="AI24" s="20">
        <f>H24*(1-0)</f>
        <v>0</v>
      </c>
      <c r="AJ24" s="21" t="s">
        <v>61</v>
      </c>
      <c r="AO24" s="20">
        <f t="shared" si="12"/>
        <v>0</v>
      </c>
      <c r="AP24" s="20">
        <f t="shared" si="13"/>
        <v>0</v>
      </c>
      <c r="AQ24" s="20">
        <f t="shared" si="14"/>
        <v>0</v>
      </c>
      <c r="AR24" s="21" t="s">
        <v>48</v>
      </c>
      <c r="AS24" s="21" t="s">
        <v>49</v>
      </c>
      <c r="AT24" s="10" t="s">
        <v>50</v>
      </c>
      <c r="AV24" s="20">
        <f t="shared" si="15"/>
        <v>0</v>
      </c>
      <c r="AW24" s="20">
        <f t="shared" si="16"/>
        <v>0</v>
      </c>
      <c r="AX24" s="20">
        <v>0</v>
      </c>
      <c r="AY24" s="20" t="e">
        <f>#REF!</f>
        <v>#REF!</v>
      </c>
      <c r="BA24" s="20">
        <f t="shared" si="17"/>
        <v>0</v>
      </c>
      <c r="BB24" s="20">
        <f t="shared" si="18"/>
        <v>0</v>
      </c>
      <c r="BC24" s="20">
        <f t="shared" si="19"/>
        <v>0</v>
      </c>
      <c r="BD24" s="21" t="s">
        <v>51</v>
      </c>
      <c r="BE24" s="20">
        <v>712</v>
      </c>
      <c r="BP24" s="20" t="e">
        <f>#REF!</f>
        <v>#REF!</v>
      </c>
      <c r="BQ24" s="4" t="s">
        <v>86</v>
      </c>
    </row>
    <row r="25" spans="1:69" x14ac:dyDescent="0.25">
      <c r="A25" s="56">
        <v>13</v>
      </c>
      <c r="B25" s="57"/>
      <c r="C25" s="55">
        <v>651024</v>
      </c>
      <c r="D25" s="98" t="s">
        <v>193</v>
      </c>
      <c r="E25" s="57"/>
      <c r="F25" s="57" t="s">
        <v>64</v>
      </c>
      <c r="G25" s="83">
        <v>1</v>
      </c>
      <c r="H25" s="83"/>
      <c r="I25" s="83">
        <f t="shared" si="0"/>
        <v>0</v>
      </c>
      <c r="S25" s="83"/>
      <c r="U25" s="83"/>
      <c r="V25" s="83"/>
      <c r="W25" s="83"/>
      <c r="X25" s="83"/>
      <c r="Y25" s="83"/>
      <c r="Z25" s="83"/>
      <c r="AA25" s="83"/>
      <c r="AB25" s="99"/>
      <c r="AC25" s="83"/>
      <c r="AD25" s="83"/>
      <c r="AE25" s="83"/>
      <c r="AG25" s="83"/>
      <c r="AH25" s="83"/>
      <c r="AI25" s="83"/>
      <c r="AJ25" s="84"/>
      <c r="AO25" s="83"/>
      <c r="AP25" s="83"/>
      <c r="AQ25" s="83"/>
      <c r="AR25" s="84"/>
      <c r="AS25" s="84"/>
      <c r="AT25" s="99"/>
      <c r="AV25" s="83"/>
      <c r="AW25" s="83"/>
      <c r="AX25" s="83"/>
      <c r="AY25" s="83"/>
      <c r="BA25" s="83"/>
      <c r="BB25" s="83"/>
      <c r="BC25" s="83">
        <f t="shared" si="19"/>
        <v>0</v>
      </c>
      <c r="BD25" s="84"/>
      <c r="BE25" s="83"/>
      <c r="BP25" s="83"/>
      <c r="BQ25" s="98"/>
    </row>
    <row r="26" spans="1:69" x14ac:dyDescent="0.25">
      <c r="A26" s="2">
        <v>14</v>
      </c>
      <c r="B26" s="3" t="s">
        <v>40</v>
      </c>
      <c r="C26" s="3" t="s">
        <v>87</v>
      </c>
      <c r="D26" s="100" t="s">
        <v>88</v>
      </c>
      <c r="E26" s="101"/>
      <c r="F26" s="3" t="s">
        <v>89</v>
      </c>
      <c r="G26" s="20">
        <v>25</v>
      </c>
      <c r="H26" s="20"/>
      <c r="I26" s="20">
        <f t="shared" si="0"/>
        <v>0</v>
      </c>
      <c r="S26" s="20">
        <f t="shared" si="1"/>
        <v>0</v>
      </c>
      <c r="U26" s="20">
        <f t="shared" si="2"/>
        <v>0</v>
      </c>
      <c r="V26" s="20">
        <f t="shared" si="3"/>
        <v>0</v>
      </c>
      <c r="W26" s="20">
        <f t="shared" si="4"/>
        <v>0</v>
      </c>
      <c r="X26" s="20">
        <f t="shared" si="5"/>
        <v>0</v>
      </c>
      <c r="Y26" s="20">
        <f t="shared" si="6"/>
        <v>0</v>
      </c>
      <c r="Z26" s="20">
        <f t="shared" si="7"/>
        <v>0</v>
      </c>
      <c r="AA26" s="20">
        <f t="shared" si="8"/>
        <v>0</v>
      </c>
      <c r="AB26" s="10" t="s">
        <v>40</v>
      </c>
      <c r="AC26" s="20">
        <f t="shared" si="9"/>
        <v>0</v>
      </c>
      <c r="AD26" s="20">
        <f t="shared" si="10"/>
        <v>0</v>
      </c>
      <c r="AE26" s="20">
        <f t="shared" si="11"/>
        <v>0</v>
      </c>
      <c r="AG26" s="20">
        <v>21</v>
      </c>
      <c r="AH26" s="20">
        <f>H26*0</f>
        <v>0</v>
      </c>
      <c r="AI26" s="20">
        <f>H26*(1-0)</f>
        <v>0</v>
      </c>
      <c r="AJ26" s="21" t="s">
        <v>61</v>
      </c>
      <c r="AO26" s="20">
        <f t="shared" si="12"/>
        <v>0</v>
      </c>
      <c r="AP26" s="20">
        <f t="shared" si="13"/>
        <v>0</v>
      </c>
      <c r="AQ26" s="20">
        <f t="shared" si="14"/>
        <v>0</v>
      </c>
      <c r="AR26" s="21" t="s">
        <v>48</v>
      </c>
      <c r="AS26" s="21" t="s">
        <v>49</v>
      </c>
      <c r="AT26" s="10" t="s">
        <v>50</v>
      </c>
      <c r="AV26" s="20">
        <f t="shared" si="15"/>
        <v>0</v>
      </c>
      <c r="AW26" s="20">
        <f t="shared" si="16"/>
        <v>0</v>
      </c>
      <c r="AX26" s="20">
        <v>0</v>
      </c>
      <c r="AY26" s="20" t="e">
        <f>#REF!</f>
        <v>#REF!</v>
      </c>
      <c r="BA26" s="20">
        <f t="shared" si="17"/>
        <v>0</v>
      </c>
      <c r="BB26" s="20">
        <f t="shared" si="18"/>
        <v>0</v>
      </c>
      <c r="BC26" s="20">
        <f t="shared" si="19"/>
        <v>0</v>
      </c>
      <c r="BD26" s="21" t="s">
        <v>51</v>
      </c>
      <c r="BE26" s="20">
        <v>712</v>
      </c>
      <c r="BP26" s="20" t="e">
        <f>#REF!</f>
        <v>#REF!</v>
      </c>
      <c r="BQ26" s="4" t="s">
        <v>88</v>
      </c>
    </row>
    <row r="27" spans="1:69" x14ac:dyDescent="0.25">
      <c r="A27" s="22" t="s">
        <v>40</v>
      </c>
      <c r="B27" s="23" t="s">
        <v>40</v>
      </c>
      <c r="C27" s="23" t="s">
        <v>90</v>
      </c>
      <c r="D27" s="161" t="s">
        <v>91</v>
      </c>
      <c r="E27" s="162"/>
      <c r="F27" s="24" t="s">
        <v>3</v>
      </c>
      <c r="G27" s="24" t="s">
        <v>3</v>
      </c>
      <c r="H27" s="24" t="s">
        <v>3</v>
      </c>
      <c r="I27" s="1">
        <f>SUM(I28:I32)</f>
        <v>0</v>
      </c>
      <c r="AB27" s="10" t="s">
        <v>40</v>
      </c>
      <c r="AL27" s="1">
        <f>SUM(AC28:AC32)</f>
        <v>0</v>
      </c>
      <c r="AM27" s="1">
        <f>SUM(AD28:AD32)</f>
        <v>0</v>
      </c>
      <c r="AN27" s="1">
        <f>SUM(AE28:AE32)</f>
        <v>0</v>
      </c>
    </row>
    <row r="28" spans="1:69" x14ac:dyDescent="0.25">
      <c r="A28" s="2">
        <v>15</v>
      </c>
      <c r="B28" s="3" t="s">
        <v>40</v>
      </c>
      <c r="C28" s="3" t="s">
        <v>92</v>
      </c>
      <c r="D28" s="100" t="s">
        <v>93</v>
      </c>
      <c r="E28" s="101"/>
      <c r="F28" s="3" t="s">
        <v>46</v>
      </c>
      <c r="G28" s="20">
        <v>180</v>
      </c>
      <c r="H28" s="20"/>
      <c r="I28" s="20">
        <f>ROUND(G28*H28,2)</f>
        <v>0</v>
      </c>
      <c r="S28" s="20">
        <f>ROUND(IF(AJ28="5",BC28,0),2)</f>
        <v>0</v>
      </c>
      <c r="U28" s="20">
        <f>ROUND(IF(AJ28="1",BA28,0),2)</f>
        <v>0</v>
      </c>
      <c r="V28" s="20">
        <f>ROUND(IF(AJ28="1",BB28,0),2)</f>
        <v>0</v>
      </c>
      <c r="W28" s="20">
        <f>ROUND(IF(AJ28="7",BA28,0),2)</f>
        <v>0</v>
      </c>
      <c r="X28" s="20">
        <f>ROUND(IF(AJ28="7",BB28,0),2)</f>
        <v>0</v>
      </c>
      <c r="Y28" s="20">
        <f>ROUND(IF(AJ28="2",BA28,0),2)</f>
        <v>0</v>
      </c>
      <c r="Z28" s="20">
        <f>ROUND(IF(AJ28="2",BB28,0),2)</f>
        <v>0</v>
      </c>
      <c r="AA28" s="20">
        <f>ROUND(IF(AJ28="0",BC28,0),2)</f>
        <v>0</v>
      </c>
      <c r="AB28" s="10" t="s">
        <v>40</v>
      </c>
      <c r="AC28" s="20">
        <f>IF(AG28=0,I28,0)</f>
        <v>0</v>
      </c>
      <c r="AD28" s="20">
        <f>IF(AG28=12,I28,0)</f>
        <v>0</v>
      </c>
      <c r="AE28" s="20">
        <f>IF(AG28=21,I28,0)</f>
        <v>0</v>
      </c>
      <c r="AG28" s="20">
        <v>21</v>
      </c>
      <c r="AH28" s="20">
        <f>H28*0</f>
        <v>0</v>
      </c>
      <c r="AI28" s="20">
        <f>H28*(1-0)</f>
        <v>0</v>
      </c>
      <c r="AJ28" s="21" t="s">
        <v>47</v>
      </c>
      <c r="AO28" s="20">
        <f>ROUND(AP28+AQ28,2)</f>
        <v>0</v>
      </c>
      <c r="AP28" s="20">
        <f>ROUND(G28*AH28,2)</f>
        <v>0</v>
      </c>
      <c r="AQ28" s="20">
        <f>ROUND(G28*AI28,2)</f>
        <v>0</v>
      </c>
      <c r="AR28" s="21" t="s">
        <v>94</v>
      </c>
      <c r="AS28" s="21" t="s">
        <v>49</v>
      </c>
      <c r="AT28" s="10" t="s">
        <v>50</v>
      </c>
      <c r="AV28" s="20">
        <f>AP28+AQ28</f>
        <v>0</v>
      </c>
      <c r="AW28" s="20">
        <f>H28/(100-AX28)*100</f>
        <v>0</v>
      </c>
      <c r="AX28" s="20">
        <v>0</v>
      </c>
      <c r="AY28" s="20" t="e">
        <f>#REF!</f>
        <v>#REF!</v>
      </c>
      <c r="BA28" s="20">
        <f>G28*AH28</f>
        <v>0</v>
      </c>
      <c r="BB28" s="20">
        <f>G28*AI28</f>
        <v>0</v>
      </c>
      <c r="BC28" s="20">
        <f>G28*H28</f>
        <v>0</v>
      </c>
      <c r="BD28" s="21" t="s">
        <v>51</v>
      </c>
      <c r="BE28" s="20">
        <v>713</v>
      </c>
      <c r="BP28" s="20" t="e">
        <f>#REF!</f>
        <v>#REF!</v>
      </c>
      <c r="BQ28" s="4" t="s">
        <v>93</v>
      </c>
    </row>
    <row r="29" spans="1:69" x14ac:dyDescent="0.25">
      <c r="A29" s="2">
        <v>16</v>
      </c>
      <c r="B29" s="3" t="s">
        <v>40</v>
      </c>
      <c r="C29" s="3" t="s">
        <v>95</v>
      </c>
      <c r="D29" s="100" t="s">
        <v>96</v>
      </c>
      <c r="E29" s="101"/>
      <c r="F29" s="3" t="s">
        <v>89</v>
      </c>
      <c r="G29" s="20">
        <v>36</v>
      </c>
      <c r="H29" s="20"/>
      <c r="I29" s="20">
        <f>ROUND(G29*H29,2)</f>
        <v>0</v>
      </c>
      <c r="S29" s="20">
        <f>ROUND(IF(AJ29="5",BC29,0),2)</f>
        <v>0</v>
      </c>
      <c r="U29" s="20">
        <f>ROUND(IF(AJ29="1",BA29,0),2)</f>
        <v>0</v>
      </c>
      <c r="V29" s="20">
        <f>ROUND(IF(AJ29="1",BB29,0),2)</f>
        <v>0</v>
      </c>
      <c r="W29" s="20">
        <f>ROUND(IF(AJ29="7",BA29,0),2)</f>
        <v>0</v>
      </c>
      <c r="X29" s="20">
        <f>ROUND(IF(AJ29="7",BB29,0),2)</f>
        <v>0</v>
      </c>
      <c r="Y29" s="20">
        <f>ROUND(IF(AJ29="2",BA29,0),2)</f>
        <v>0</v>
      </c>
      <c r="Z29" s="20">
        <f>ROUND(IF(AJ29="2",BB29,0),2)</f>
        <v>0</v>
      </c>
      <c r="AA29" s="20">
        <f>ROUND(IF(AJ29="0",BC29,0),2)</f>
        <v>0</v>
      </c>
      <c r="AB29" s="10" t="s">
        <v>40</v>
      </c>
      <c r="AC29" s="20">
        <f>IF(AG29=0,I29,0)</f>
        <v>0</v>
      </c>
      <c r="AD29" s="20">
        <f>IF(AG29=12,I29,0)</f>
        <v>0</v>
      </c>
      <c r="AE29" s="20">
        <f>IF(AG29=21,I29,0)</f>
        <v>0</v>
      </c>
      <c r="AG29" s="20">
        <v>21</v>
      </c>
      <c r="AH29" s="20">
        <f>H29*1</f>
        <v>0</v>
      </c>
      <c r="AI29" s="20">
        <f>H29*(1-1)</f>
        <v>0</v>
      </c>
      <c r="AJ29" s="21" t="s">
        <v>47</v>
      </c>
      <c r="AO29" s="20">
        <f>ROUND(AP29+AQ29,2)</f>
        <v>0</v>
      </c>
      <c r="AP29" s="20">
        <f>ROUND(G29*AH29,2)</f>
        <v>0</v>
      </c>
      <c r="AQ29" s="20">
        <f>ROUND(G29*AI29,2)</f>
        <v>0</v>
      </c>
      <c r="AR29" s="21" t="s">
        <v>94</v>
      </c>
      <c r="AS29" s="21" t="s">
        <v>49</v>
      </c>
      <c r="AT29" s="10" t="s">
        <v>50</v>
      </c>
      <c r="AV29" s="20">
        <f>AP29+AQ29</f>
        <v>0</v>
      </c>
      <c r="AW29" s="20">
        <f>H29/(100-AX29)*100</f>
        <v>0</v>
      </c>
      <c r="AX29" s="20">
        <v>0</v>
      </c>
      <c r="AY29" s="20" t="e">
        <f>#REF!</f>
        <v>#REF!</v>
      </c>
      <c r="BA29" s="20">
        <f>G29*AH29</f>
        <v>0</v>
      </c>
      <c r="BB29" s="20">
        <f>G29*AI29</f>
        <v>0</v>
      </c>
      <c r="BC29" s="20">
        <f>G29*H29</f>
        <v>0</v>
      </c>
      <c r="BD29" s="21" t="s">
        <v>68</v>
      </c>
      <c r="BE29" s="20">
        <v>713</v>
      </c>
      <c r="BP29" s="20" t="e">
        <f>#REF!</f>
        <v>#REF!</v>
      </c>
      <c r="BQ29" s="4" t="s">
        <v>96</v>
      </c>
    </row>
    <row r="30" spans="1:69" x14ac:dyDescent="0.25">
      <c r="A30" s="2">
        <v>17</v>
      </c>
      <c r="B30" s="3" t="s">
        <v>40</v>
      </c>
      <c r="C30" s="3" t="s">
        <v>97</v>
      </c>
      <c r="D30" s="100" t="s">
        <v>98</v>
      </c>
      <c r="E30" s="101"/>
      <c r="F30" s="3" t="s">
        <v>46</v>
      </c>
      <c r="G30" s="20">
        <v>180</v>
      </c>
      <c r="H30" s="20"/>
      <c r="I30" s="20">
        <f>ROUND(G30*H30,2)</f>
        <v>0</v>
      </c>
      <c r="S30" s="20">
        <f>ROUND(IF(AJ30="5",BC30,0),2)</f>
        <v>0</v>
      </c>
      <c r="U30" s="20">
        <f>ROUND(IF(AJ30="1",BA30,0),2)</f>
        <v>0</v>
      </c>
      <c r="V30" s="20">
        <f>ROUND(IF(AJ30="1",BB30,0),2)</f>
        <v>0</v>
      </c>
      <c r="W30" s="20">
        <f>ROUND(IF(AJ30="7",BA30,0),2)</f>
        <v>0</v>
      </c>
      <c r="X30" s="20">
        <f>ROUND(IF(AJ30="7",BB30,0),2)</f>
        <v>0</v>
      </c>
      <c r="Y30" s="20">
        <f>ROUND(IF(AJ30="2",BA30,0),2)</f>
        <v>0</v>
      </c>
      <c r="Z30" s="20">
        <f>ROUND(IF(AJ30="2",BB30,0),2)</f>
        <v>0</v>
      </c>
      <c r="AA30" s="20">
        <f>ROUND(IF(AJ30="0",BC30,0),2)</f>
        <v>0</v>
      </c>
      <c r="AB30" s="10" t="s">
        <v>40</v>
      </c>
      <c r="AC30" s="20">
        <f>IF(AG30=0,I30,0)</f>
        <v>0</v>
      </c>
      <c r="AD30" s="20">
        <f>IF(AG30=12,I30,0)</f>
        <v>0</v>
      </c>
      <c r="AE30" s="20">
        <f>IF(AG30=21,I30,0)</f>
        <v>0</v>
      </c>
      <c r="AG30" s="20">
        <v>21</v>
      </c>
      <c r="AH30" s="20">
        <f>H30*0.445384615</f>
        <v>0</v>
      </c>
      <c r="AI30" s="20">
        <f>H30*(1-0.445384615)</f>
        <v>0</v>
      </c>
      <c r="AJ30" s="21" t="s">
        <v>47</v>
      </c>
      <c r="AO30" s="20">
        <f>ROUND(AP30+AQ30,2)</f>
        <v>0</v>
      </c>
      <c r="AP30" s="20">
        <f>ROUND(G30*AH30,2)</f>
        <v>0</v>
      </c>
      <c r="AQ30" s="20">
        <f>ROUND(G30*AI30,2)</f>
        <v>0</v>
      </c>
      <c r="AR30" s="21" t="s">
        <v>94</v>
      </c>
      <c r="AS30" s="21" t="s">
        <v>49</v>
      </c>
      <c r="AT30" s="10" t="s">
        <v>50</v>
      </c>
      <c r="AV30" s="20">
        <f>AP30+AQ30</f>
        <v>0</v>
      </c>
      <c r="AW30" s="20">
        <f>H30/(100-AX30)*100</f>
        <v>0</v>
      </c>
      <c r="AX30" s="20">
        <v>0</v>
      </c>
      <c r="AY30" s="20" t="e">
        <f>#REF!</f>
        <v>#REF!</v>
      </c>
      <c r="BA30" s="20">
        <f>G30*AH30</f>
        <v>0</v>
      </c>
      <c r="BB30" s="20">
        <f>G30*AI30</f>
        <v>0</v>
      </c>
      <c r="BC30" s="20">
        <f>G30*H30</f>
        <v>0</v>
      </c>
      <c r="BD30" s="21" t="s">
        <v>51</v>
      </c>
      <c r="BE30" s="20">
        <v>713</v>
      </c>
      <c r="BP30" s="20" t="e">
        <f>#REF!</f>
        <v>#REF!</v>
      </c>
      <c r="BQ30" s="4" t="s">
        <v>98</v>
      </c>
    </row>
    <row r="31" spans="1:69" x14ac:dyDescent="0.25">
      <c r="A31" s="2">
        <v>18</v>
      </c>
      <c r="B31" s="3" t="s">
        <v>40</v>
      </c>
      <c r="C31" s="3" t="s">
        <v>99</v>
      </c>
      <c r="D31" s="100" t="s">
        <v>100</v>
      </c>
      <c r="E31" s="101"/>
      <c r="F31" s="3" t="s">
        <v>101</v>
      </c>
      <c r="G31" s="20">
        <v>40</v>
      </c>
      <c r="H31" s="20"/>
      <c r="I31" s="20">
        <f>ROUND(G31*H31,2)</f>
        <v>0</v>
      </c>
      <c r="S31" s="20">
        <f>ROUND(IF(AJ31="5",BC31,0),2)</f>
        <v>0</v>
      </c>
      <c r="U31" s="20">
        <f>ROUND(IF(AJ31="1",BA31,0),2)</f>
        <v>0</v>
      </c>
      <c r="V31" s="20">
        <f>ROUND(IF(AJ31="1",BB31,0),2)</f>
        <v>0</v>
      </c>
      <c r="W31" s="20">
        <f>ROUND(IF(AJ31="7",BA31,0),2)</f>
        <v>0</v>
      </c>
      <c r="X31" s="20">
        <f>ROUND(IF(AJ31="7",BB31,0),2)</f>
        <v>0</v>
      </c>
      <c r="Y31" s="20">
        <f>ROUND(IF(AJ31="2",BA31,0),2)</f>
        <v>0</v>
      </c>
      <c r="Z31" s="20">
        <f>ROUND(IF(AJ31="2",BB31,0),2)</f>
        <v>0</v>
      </c>
      <c r="AA31" s="20">
        <f>ROUND(IF(AJ31="0",BC31,0),2)</f>
        <v>0</v>
      </c>
      <c r="AB31" s="10" t="s">
        <v>40</v>
      </c>
      <c r="AC31" s="20">
        <f>IF(AG31=0,I31,0)</f>
        <v>0</v>
      </c>
      <c r="AD31" s="20">
        <f>IF(AG31=12,I31,0)</f>
        <v>0</v>
      </c>
      <c r="AE31" s="20">
        <f>IF(AG31=21,I31,0)</f>
        <v>0</v>
      </c>
      <c r="AG31" s="20">
        <v>21</v>
      </c>
      <c r="AH31" s="20">
        <f>H31*1</f>
        <v>0</v>
      </c>
      <c r="AI31" s="20">
        <f>H31*(1-1)</f>
        <v>0</v>
      </c>
      <c r="AJ31" s="21" t="s">
        <v>47</v>
      </c>
      <c r="AO31" s="20">
        <f>ROUND(AP31+AQ31,2)</f>
        <v>0</v>
      </c>
      <c r="AP31" s="20">
        <f>ROUND(G31*AH31,2)</f>
        <v>0</v>
      </c>
      <c r="AQ31" s="20">
        <f>ROUND(G31*AI31,2)</f>
        <v>0</v>
      </c>
      <c r="AR31" s="21" t="s">
        <v>94</v>
      </c>
      <c r="AS31" s="21" t="s">
        <v>49</v>
      </c>
      <c r="AT31" s="10" t="s">
        <v>50</v>
      </c>
      <c r="AV31" s="20">
        <f>AP31+AQ31</f>
        <v>0</v>
      </c>
      <c r="AW31" s="20">
        <f>H31/(100-AX31)*100</f>
        <v>0</v>
      </c>
      <c r="AX31" s="20">
        <v>0</v>
      </c>
      <c r="AY31" s="20" t="e">
        <f>#REF!</f>
        <v>#REF!</v>
      </c>
      <c r="BA31" s="20">
        <f>G31*AH31</f>
        <v>0</v>
      </c>
      <c r="BB31" s="20">
        <f>G31*AI31</f>
        <v>0</v>
      </c>
      <c r="BC31" s="20">
        <f>G31*H31</f>
        <v>0</v>
      </c>
      <c r="BD31" s="21" t="s">
        <v>68</v>
      </c>
      <c r="BE31" s="20">
        <v>713</v>
      </c>
      <c r="BP31" s="20" t="e">
        <f>#REF!</f>
        <v>#REF!</v>
      </c>
      <c r="BQ31" s="4" t="s">
        <v>100</v>
      </c>
    </row>
    <row r="32" spans="1:69" x14ac:dyDescent="0.25">
      <c r="A32" s="25">
        <v>19</v>
      </c>
      <c r="B32" s="26" t="s">
        <v>40</v>
      </c>
      <c r="C32" s="26" t="s">
        <v>102</v>
      </c>
      <c r="D32" s="160" t="s">
        <v>196</v>
      </c>
      <c r="E32" s="137"/>
      <c r="F32" s="26" t="s">
        <v>64</v>
      </c>
      <c r="G32" s="27">
        <v>1</v>
      </c>
      <c r="H32" s="27"/>
      <c r="I32" s="27">
        <f>ROUND(G32*H32,2)</f>
        <v>0</v>
      </c>
      <c r="S32" s="20">
        <f>ROUND(IF(AJ32="5",BC32,0),2)</f>
        <v>0</v>
      </c>
      <c r="U32" s="20">
        <f>ROUND(IF(AJ32="1",BA32,0),2)</f>
        <v>0</v>
      </c>
      <c r="V32" s="20">
        <f>ROUND(IF(AJ32="1",BB32,0),2)</f>
        <v>0</v>
      </c>
      <c r="W32" s="20">
        <f>ROUND(IF(AJ32="7",BA32,0),2)</f>
        <v>0</v>
      </c>
      <c r="X32" s="20">
        <f>ROUND(IF(AJ32="7",BB32,0),2)</f>
        <v>0</v>
      </c>
      <c r="Y32" s="20">
        <f>ROUND(IF(AJ32="2",BA32,0),2)</f>
        <v>0</v>
      </c>
      <c r="Z32" s="20">
        <f>ROUND(IF(AJ32="2",BB32,0),2)</f>
        <v>0</v>
      </c>
      <c r="AA32" s="20">
        <f>ROUND(IF(AJ32="0",BC32,0),2)</f>
        <v>0</v>
      </c>
      <c r="AB32" s="10" t="s">
        <v>40</v>
      </c>
      <c r="AC32" s="20">
        <f>IF(AG32=0,I32,0)</f>
        <v>0</v>
      </c>
      <c r="AD32" s="20">
        <f>IF(AG32=12,I32,0)</f>
        <v>0</v>
      </c>
      <c r="AE32" s="20">
        <f>IF(AG32=21,I32,0)</f>
        <v>0</v>
      </c>
      <c r="AG32" s="20">
        <v>21</v>
      </c>
      <c r="AH32" s="20">
        <f>H32*0</f>
        <v>0</v>
      </c>
      <c r="AI32" s="20">
        <f>H32*(1-0)</f>
        <v>0</v>
      </c>
      <c r="AJ32" s="21" t="s">
        <v>61</v>
      </c>
      <c r="AO32" s="20">
        <f>ROUND(AP32+AQ32,2)</f>
        <v>0</v>
      </c>
      <c r="AP32" s="20">
        <f>ROUND(G32*AH32,2)</f>
        <v>0</v>
      </c>
      <c r="AQ32" s="20">
        <f>ROUND(G32*AI32,2)</f>
        <v>0</v>
      </c>
      <c r="AR32" s="21" t="s">
        <v>94</v>
      </c>
      <c r="AS32" s="21" t="s">
        <v>49</v>
      </c>
      <c r="AT32" s="10" t="s">
        <v>50</v>
      </c>
      <c r="AV32" s="20">
        <f>AP32+AQ32</f>
        <v>0</v>
      </c>
      <c r="AW32" s="20">
        <f>H32/(100-AX32)*100</f>
        <v>0</v>
      </c>
      <c r="AX32" s="20">
        <v>0</v>
      </c>
      <c r="AY32" s="20" t="e">
        <f>#REF!</f>
        <v>#REF!</v>
      </c>
      <c r="BA32" s="20">
        <f>G32*AH32</f>
        <v>0</v>
      </c>
      <c r="BB32" s="20">
        <f>G32*AI32</f>
        <v>0</v>
      </c>
      <c r="BC32" s="20">
        <f>G32*H32</f>
        <v>0</v>
      </c>
      <c r="BD32" s="21" t="s">
        <v>51</v>
      </c>
      <c r="BE32" s="20">
        <v>713</v>
      </c>
      <c r="BP32" s="20" t="e">
        <f>#REF!</f>
        <v>#REF!</v>
      </c>
      <c r="BQ32" s="4" t="s">
        <v>103</v>
      </c>
    </row>
    <row r="33" spans="1:9" x14ac:dyDescent="0.25">
      <c r="I33" s="28">
        <f>ROUND(I12+I27,2)</f>
        <v>0</v>
      </c>
    </row>
    <row r="34" spans="1:9" x14ac:dyDescent="0.25">
      <c r="A34" s="29" t="s">
        <v>104</v>
      </c>
      <c r="D34" t="s">
        <v>194</v>
      </c>
    </row>
    <row r="35" spans="1:9" ht="12.75" customHeight="1" x14ac:dyDescent="0.25">
      <c r="A35" s="100" t="s">
        <v>40</v>
      </c>
      <c r="B35" s="101"/>
      <c r="C35" s="101"/>
      <c r="D35" s="101"/>
      <c r="E35" s="101"/>
      <c r="F35" s="101"/>
      <c r="G35" s="101"/>
      <c r="H35" s="101"/>
      <c r="I35" s="101"/>
    </row>
  </sheetData>
  <mergeCells count="44">
    <mergeCell ref="A1:I1"/>
    <mergeCell ref="A2:C3"/>
    <mergeCell ref="A4:C5"/>
    <mergeCell ref="A6:C7"/>
    <mergeCell ref="A8:C9"/>
    <mergeCell ref="F2:G3"/>
    <mergeCell ref="F4:G5"/>
    <mergeCell ref="F6:G7"/>
    <mergeCell ref="F8:G9"/>
    <mergeCell ref="D2:E3"/>
    <mergeCell ref="D4:E5"/>
    <mergeCell ref="D6:E7"/>
    <mergeCell ref="D11:E11"/>
    <mergeCell ref="D12:E12"/>
    <mergeCell ref="D13:E13"/>
    <mergeCell ref="I2:I3"/>
    <mergeCell ref="I4:I5"/>
    <mergeCell ref="I6:I7"/>
    <mergeCell ref="I8:I9"/>
    <mergeCell ref="D10:E10"/>
    <mergeCell ref="D8:E9"/>
    <mergeCell ref="H2:H3"/>
    <mergeCell ref="H4:H5"/>
    <mergeCell ref="H6:H7"/>
    <mergeCell ref="H8:H9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30:E30"/>
    <mergeCell ref="D31:E31"/>
    <mergeCell ref="D32:E32"/>
    <mergeCell ref="A35:I35"/>
    <mergeCell ref="D24:E24"/>
    <mergeCell ref="D26:E26"/>
    <mergeCell ref="D27:E27"/>
    <mergeCell ref="D28:E28"/>
    <mergeCell ref="D29:E29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D162E-8617-4EC7-8768-AEC8623ED55F}">
  <dimension ref="A1:BQ24"/>
  <sheetViews>
    <sheetView workbookViewId="0">
      <selection activeCell="H20" sqref="H20:H21"/>
    </sheetView>
  </sheetViews>
  <sheetFormatPr defaultColWidth="12.140625" defaultRowHeight="15" x14ac:dyDescent="0.25"/>
  <cols>
    <col min="1" max="1" width="4" customWidth="1"/>
    <col min="2" max="2" width="7.5703125" customWidth="1"/>
    <col min="3" max="3" width="17.85546875" customWidth="1"/>
    <col min="4" max="4" width="42.85546875" customWidth="1"/>
    <col min="5" max="5" width="35.7109375" customWidth="1"/>
    <col min="6" max="6" width="4.28515625" customWidth="1"/>
    <col min="7" max="7" width="12.85546875" customWidth="1"/>
    <col min="8" max="8" width="12" customWidth="1"/>
    <col min="9" max="9" width="15.7109375" customWidth="1"/>
    <col min="69" max="69" width="78.5703125" hidden="1" customWidth="1"/>
  </cols>
  <sheetData>
    <row r="1" spans="1:69" ht="23.25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AL1" s="58">
        <f>SUM(AC1:AC2)</f>
        <v>0</v>
      </c>
      <c r="AM1" s="58">
        <f>SUM(AD1:AD2)</f>
        <v>0</v>
      </c>
      <c r="AN1" s="58">
        <f>SUM(AE1:AE2)</f>
        <v>0</v>
      </c>
    </row>
    <row r="2" spans="1:69" x14ac:dyDescent="0.25">
      <c r="A2" s="182" t="s">
        <v>1</v>
      </c>
      <c r="B2" s="183"/>
      <c r="C2" s="183"/>
      <c r="D2" s="184" t="s">
        <v>163</v>
      </c>
      <c r="E2" s="185"/>
      <c r="F2" s="183" t="s">
        <v>2</v>
      </c>
      <c r="G2" s="183"/>
      <c r="H2" s="183" t="s">
        <v>3</v>
      </c>
      <c r="I2" s="183"/>
    </row>
    <row r="3" spans="1:69" x14ac:dyDescent="0.25">
      <c r="A3" s="180"/>
      <c r="B3" s="172"/>
      <c r="C3" s="172"/>
      <c r="D3" s="186"/>
      <c r="E3" s="186"/>
      <c r="F3" s="172"/>
      <c r="G3" s="172"/>
      <c r="H3" s="172"/>
      <c r="I3" s="172"/>
    </row>
    <row r="4" spans="1:69" x14ac:dyDescent="0.25">
      <c r="A4" s="179" t="s">
        <v>5</v>
      </c>
      <c r="B4" s="172"/>
      <c r="C4" s="172"/>
      <c r="D4" s="171" t="s">
        <v>3</v>
      </c>
      <c r="E4" s="172"/>
      <c r="F4" s="172" t="s">
        <v>6</v>
      </c>
      <c r="G4" s="172"/>
      <c r="H4" s="172"/>
      <c r="I4" s="172"/>
    </row>
    <row r="5" spans="1:69" x14ac:dyDescent="0.25">
      <c r="A5" s="180"/>
      <c r="B5" s="172"/>
      <c r="C5" s="172"/>
      <c r="D5" s="172"/>
      <c r="E5" s="172"/>
      <c r="F5" s="172"/>
      <c r="G5" s="172"/>
      <c r="H5" s="172"/>
      <c r="I5" s="172"/>
    </row>
    <row r="6" spans="1:69" x14ac:dyDescent="0.25">
      <c r="A6" s="179" t="s">
        <v>8</v>
      </c>
      <c r="B6" s="172"/>
      <c r="C6" s="172"/>
      <c r="D6" s="171" t="s">
        <v>3</v>
      </c>
      <c r="E6" s="172"/>
      <c r="F6" s="172" t="s">
        <v>9</v>
      </c>
      <c r="G6" s="172"/>
      <c r="H6" s="172" t="s">
        <v>3</v>
      </c>
      <c r="I6" s="172"/>
    </row>
    <row r="7" spans="1:69" x14ac:dyDescent="0.25">
      <c r="A7" s="180"/>
      <c r="B7" s="172"/>
      <c r="C7" s="172"/>
      <c r="D7" s="172"/>
      <c r="E7" s="172"/>
      <c r="F7" s="172"/>
      <c r="G7" s="172"/>
      <c r="H7" s="172"/>
      <c r="I7" s="172"/>
    </row>
    <row r="8" spans="1:69" x14ac:dyDescent="0.25">
      <c r="A8" s="179" t="s">
        <v>11</v>
      </c>
      <c r="B8" s="172"/>
      <c r="C8" s="172"/>
      <c r="D8" s="171" t="s">
        <v>3</v>
      </c>
      <c r="E8" s="172"/>
      <c r="F8" s="172" t="s">
        <v>12</v>
      </c>
      <c r="G8" s="172"/>
      <c r="H8" s="172"/>
      <c r="I8" s="172"/>
    </row>
    <row r="9" spans="1:69" ht="15.75" thickBot="1" x14ac:dyDescent="0.3">
      <c r="A9" s="180"/>
      <c r="B9" s="172"/>
      <c r="C9" s="172"/>
      <c r="D9" s="172"/>
      <c r="E9" s="172"/>
      <c r="F9" s="172"/>
      <c r="G9" s="172"/>
      <c r="H9" s="172"/>
      <c r="I9" s="172"/>
    </row>
    <row r="10" spans="1:69" x14ac:dyDescent="0.25">
      <c r="A10" s="59" t="s">
        <v>14</v>
      </c>
      <c r="B10" s="60" t="s">
        <v>15</v>
      </c>
      <c r="C10" s="60" t="s">
        <v>16</v>
      </c>
      <c r="D10" s="169" t="s">
        <v>17</v>
      </c>
      <c r="E10" s="170"/>
      <c r="F10" s="60" t="s">
        <v>18</v>
      </c>
      <c r="G10" s="61" t="s">
        <v>19</v>
      </c>
      <c r="H10" s="62" t="s">
        <v>20</v>
      </c>
      <c r="I10" s="63"/>
      <c r="BD10" s="64" t="s">
        <v>21</v>
      </c>
      <c r="BE10" s="65" t="s">
        <v>22</v>
      </c>
      <c r="BP10" s="65" t="s">
        <v>23</v>
      </c>
    </row>
    <row r="11" spans="1:69" ht="15.75" thickBot="1" x14ac:dyDescent="0.3">
      <c r="A11" s="66" t="s">
        <v>3</v>
      </c>
      <c r="B11" s="67" t="s">
        <v>3</v>
      </c>
      <c r="C11" s="67" t="s">
        <v>3</v>
      </c>
      <c r="D11" s="177" t="s">
        <v>24</v>
      </c>
      <c r="E11" s="178"/>
      <c r="F11" s="67" t="s">
        <v>3</v>
      </c>
      <c r="G11" s="67" t="s">
        <v>3</v>
      </c>
      <c r="H11" s="68" t="s">
        <v>25</v>
      </c>
      <c r="I11" s="69" t="s">
        <v>27</v>
      </c>
      <c r="S11" s="64" t="s">
        <v>28</v>
      </c>
      <c r="T11" s="64" t="s">
        <v>29</v>
      </c>
      <c r="U11" s="64" t="s">
        <v>30</v>
      </c>
      <c r="V11" s="64" t="s">
        <v>31</v>
      </c>
      <c r="W11" s="64" t="s">
        <v>32</v>
      </c>
      <c r="X11" s="64" t="s">
        <v>33</v>
      </c>
      <c r="Y11" s="64" t="s">
        <v>34</v>
      </c>
      <c r="Z11" s="64" t="s">
        <v>35</v>
      </c>
      <c r="AA11" s="64" t="s">
        <v>36</v>
      </c>
      <c r="BA11" s="64" t="s">
        <v>37</v>
      </c>
      <c r="BB11" s="64" t="s">
        <v>38</v>
      </c>
      <c r="BC11" s="64" t="s">
        <v>39</v>
      </c>
    </row>
    <row r="12" spans="1:69" x14ac:dyDescent="0.25">
      <c r="A12" s="70" t="s">
        <v>40</v>
      </c>
      <c r="B12" s="71" t="s">
        <v>40</v>
      </c>
      <c r="C12" s="71" t="s">
        <v>164</v>
      </c>
      <c r="D12" s="173" t="s">
        <v>165</v>
      </c>
      <c r="E12" s="174"/>
      <c r="F12" s="72" t="s">
        <v>3</v>
      </c>
      <c r="G12" s="72" t="s">
        <v>3</v>
      </c>
      <c r="H12" s="72" t="s">
        <v>3</v>
      </c>
      <c r="I12" s="58">
        <f>SUM(I13:I15)</f>
        <v>0</v>
      </c>
      <c r="AB12" s="64" t="s">
        <v>40</v>
      </c>
      <c r="AL12" s="58">
        <f>SUM(AC13:AC15)</f>
        <v>0</v>
      </c>
      <c r="AM12" s="58">
        <f>SUM(AD13:AD15)</f>
        <v>0</v>
      </c>
      <c r="AN12" s="58">
        <f>SUM(AE13:AE15)</f>
        <v>0</v>
      </c>
    </row>
    <row r="13" spans="1:69" x14ac:dyDescent="0.25">
      <c r="A13" s="73" t="s">
        <v>43</v>
      </c>
      <c r="B13" s="74" t="s">
        <v>40</v>
      </c>
      <c r="C13" s="74" t="s">
        <v>166</v>
      </c>
      <c r="D13" s="171" t="s">
        <v>167</v>
      </c>
      <c r="E13" s="172"/>
      <c r="F13" s="74" t="s">
        <v>46</v>
      </c>
      <c r="G13" s="75">
        <v>169.49</v>
      </c>
      <c r="H13" s="75"/>
      <c r="I13" s="75">
        <f>ROUND(G13*H13,2)</f>
        <v>0</v>
      </c>
      <c r="S13" s="75">
        <f>ROUND(IF(AJ13="5",BC13,0),2)</f>
        <v>0</v>
      </c>
      <c r="U13" s="75">
        <f>ROUND(IF(AJ13="1",BA13,0),2)</f>
        <v>0</v>
      </c>
      <c r="V13" s="75">
        <f>ROUND(IF(AJ13="1",BB13,0),2)</f>
        <v>0</v>
      </c>
      <c r="W13" s="75">
        <f>ROUND(IF(AJ13="7",BA13,0),2)</f>
        <v>0</v>
      </c>
      <c r="X13" s="75">
        <f>ROUND(IF(AJ13="7",BB13,0),2)</f>
        <v>0</v>
      </c>
      <c r="Y13" s="75">
        <f>ROUND(IF(AJ13="2",BA13,0),2)</f>
        <v>0</v>
      </c>
      <c r="Z13" s="75">
        <f>ROUND(IF(AJ13="2",BB13,0),2)</f>
        <v>0</v>
      </c>
      <c r="AA13" s="75">
        <f>ROUND(IF(AJ13="0",BC13,0),2)</f>
        <v>0</v>
      </c>
      <c r="AB13" s="64" t="s">
        <v>40</v>
      </c>
      <c r="AC13" s="75">
        <f>IF(AG13=0,I13,0)</f>
        <v>0</v>
      </c>
      <c r="AD13" s="75">
        <f>IF(AG13=12,I13,0)</f>
        <v>0</v>
      </c>
      <c r="AE13" s="75">
        <f>IF(AG13=21,I13,0)</f>
        <v>0</v>
      </c>
      <c r="AG13" s="75">
        <v>12</v>
      </c>
      <c r="AH13" s="75">
        <f>H13*0.788322834</f>
        <v>0</v>
      </c>
      <c r="AI13" s="75">
        <f>H13*(1-0.788322834)</f>
        <v>0</v>
      </c>
      <c r="AJ13" s="76" t="s">
        <v>43</v>
      </c>
      <c r="AO13" s="75">
        <f>ROUND(AP13+AQ13,2)</f>
        <v>0</v>
      </c>
      <c r="AP13" s="75">
        <f>ROUND(G13*AH13,2)</f>
        <v>0</v>
      </c>
      <c r="AQ13" s="75">
        <f>ROUND(G13*AI13,2)</f>
        <v>0</v>
      </c>
      <c r="AR13" s="76" t="s">
        <v>168</v>
      </c>
      <c r="AS13" s="76" t="s">
        <v>169</v>
      </c>
      <c r="AT13" s="64" t="s">
        <v>50</v>
      </c>
      <c r="AV13" s="75">
        <f>AP13+AQ13</f>
        <v>0</v>
      </c>
      <c r="AW13" s="75">
        <f>H13/(100-AX13)*100</f>
        <v>0</v>
      </c>
      <c r="AX13" s="75">
        <v>0</v>
      </c>
      <c r="AY13" s="75" t="e">
        <f>#REF!</f>
        <v>#REF!</v>
      </c>
      <c r="BA13" s="75">
        <f>G13*AH13</f>
        <v>0</v>
      </c>
      <c r="BB13" s="75">
        <f>G13*AI13</f>
        <v>0</v>
      </c>
      <c r="BC13" s="75">
        <f>G13*H13</f>
        <v>0</v>
      </c>
      <c r="BD13" s="75"/>
      <c r="BE13" s="75">
        <v>63</v>
      </c>
      <c r="BP13" s="75" t="e">
        <f>#REF!</f>
        <v>#REF!</v>
      </c>
      <c r="BQ13" s="77" t="s">
        <v>170</v>
      </c>
    </row>
    <row r="14" spans="1:69" x14ac:dyDescent="0.25">
      <c r="A14" s="73" t="s">
        <v>52</v>
      </c>
      <c r="B14" s="74" t="s">
        <v>40</v>
      </c>
      <c r="C14" s="74" t="s">
        <v>171</v>
      </c>
      <c r="D14" s="171" t="s">
        <v>172</v>
      </c>
      <c r="E14" s="172"/>
      <c r="F14" s="74" t="s">
        <v>80</v>
      </c>
      <c r="G14" s="75">
        <v>64.5</v>
      </c>
      <c r="H14" s="75"/>
      <c r="I14" s="75">
        <f>ROUND(G14*H14,2)</f>
        <v>0</v>
      </c>
      <c r="S14" s="75">
        <f>ROUND(IF(AJ14="5",BC14,0),2)</f>
        <v>0</v>
      </c>
      <c r="U14" s="75">
        <f>ROUND(IF(AJ14="1",BA14,0),2)</f>
        <v>0</v>
      </c>
      <c r="V14" s="75">
        <f>ROUND(IF(AJ14="1",BB14,0),2)</f>
        <v>0</v>
      </c>
      <c r="W14" s="75">
        <f>ROUND(IF(AJ14="7",BA14,0),2)</f>
        <v>0</v>
      </c>
      <c r="X14" s="75">
        <f>ROUND(IF(AJ14="7",BB14,0),2)</f>
        <v>0</v>
      </c>
      <c r="Y14" s="75">
        <f>ROUND(IF(AJ14="2",BA14,0),2)</f>
        <v>0</v>
      </c>
      <c r="Z14" s="75">
        <f>ROUND(IF(AJ14="2",BB14,0),2)</f>
        <v>0</v>
      </c>
      <c r="AA14" s="75">
        <f>ROUND(IF(AJ14="0",BC14,0),2)</f>
        <v>0</v>
      </c>
      <c r="AB14" s="64" t="s">
        <v>40</v>
      </c>
      <c r="AC14" s="75">
        <f>IF(AG14=0,I14,0)</f>
        <v>0</v>
      </c>
      <c r="AD14" s="75">
        <f>IF(AG14=12,I14,0)</f>
        <v>0</v>
      </c>
      <c r="AE14" s="75">
        <f>IF(AG14=21,I14,0)</f>
        <v>0</v>
      </c>
      <c r="AG14" s="75">
        <v>12</v>
      </c>
      <c r="AH14" s="75">
        <f>H14*0.552608992</f>
        <v>0</v>
      </c>
      <c r="AI14" s="75">
        <f>H14*(1-0.552608992)</f>
        <v>0</v>
      </c>
      <c r="AJ14" s="76" t="s">
        <v>43</v>
      </c>
      <c r="AO14" s="75">
        <f>ROUND(AP14+AQ14,2)</f>
        <v>0</v>
      </c>
      <c r="AP14" s="75">
        <f>ROUND(G14*AH14,2)</f>
        <v>0</v>
      </c>
      <c r="AQ14" s="75">
        <f>ROUND(G14*AI14,2)</f>
        <v>0</v>
      </c>
      <c r="AR14" s="76" t="s">
        <v>168</v>
      </c>
      <c r="AS14" s="76" t="s">
        <v>169</v>
      </c>
      <c r="AT14" s="64" t="s">
        <v>50</v>
      </c>
      <c r="AV14" s="75">
        <f>AP14+AQ14</f>
        <v>0</v>
      </c>
      <c r="AW14" s="75">
        <f>H14/(100-AX14)*100</f>
        <v>0</v>
      </c>
      <c r="AX14" s="75">
        <v>0</v>
      </c>
      <c r="AY14" s="75" t="e">
        <f>#REF!</f>
        <v>#REF!</v>
      </c>
      <c r="BA14" s="75">
        <f>G14*AH14</f>
        <v>0</v>
      </c>
      <c r="BB14" s="75">
        <f>G14*AI14</f>
        <v>0</v>
      </c>
      <c r="BC14" s="75">
        <f>G14*H14</f>
        <v>0</v>
      </c>
      <c r="BD14" s="75"/>
      <c r="BE14" s="75">
        <v>63</v>
      </c>
      <c r="BP14" s="75" t="e">
        <f>#REF!</f>
        <v>#REF!</v>
      </c>
      <c r="BQ14" s="77" t="s">
        <v>173</v>
      </c>
    </row>
    <row r="15" spans="1:69" x14ac:dyDescent="0.25">
      <c r="A15" s="73" t="s">
        <v>55</v>
      </c>
      <c r="B15" s="74" t="s">
        <v>40</v>
      </c>
      <c r="C15" s="74" t="s">
        <v>174</v>
      </c>
      <c r="D15" s="171" t="s">
        <v>175</v>
      </c>
      <c r="E15" s="172"/>
      <c r="F15" s="74" t="s">
        <v>46</v>
      </c>
      <c r="G15" s="75">
        <v>186.43899999999999</v>
      </c>
      <c r="H15" s="75"/>
      <c r="I15" s="75">
        <f>ROUND(G15*H15,2)</f>
        <v>0</v>
      </c>
      <c r="S15" s="75">
        <f>ROUND(IF(AJ15="5",BC15,0),2)</f>
        <v>0</v>
      </c>
      <c r="U15" s="75">
        <f>ROUND(IF(AJ15="1",BA15,0),2)</f>
        <v>0</v>
      </c>
      <c r="V15" s="75">
        <f>ROUND(IF(AJ15="1",BB15,0),2)</f>
        <v>0</v>
      </c>
      <c r="W15" s="75">
        <f>ROUND(IF(AJ15="7",BA15,0),2)</f>
        <v>0</v>
      </c>
      <c r="X15" s="75">
        <f>ROUND(IF(AJ15="7",BB15,0),2)</f>
        <v>0</v>
      </c>
      <c r="Y15" s="75">
        <f>ROUND(IF(AJ15="2",BA15,0),2)</f>
        <v>0</v>
      </c>
      <c r="Z15" s="75">
        <f>ROUND(IF(AJ15="2",BB15,0),2)</f>
        <v>0</v>
      </c>
      <c r="AA15" s="75">
        <f>ROUND(IF(AJ15="0",BC15,0),2)</f>
        <v>0</v>
      </c>
      <c r="AB15" s="64" t="s">
        <v>40</v>
      </c>
      <c r="AC15" s="75">
        <f>IF(AG15=0,I15,0)</f>
        <v>0</v>
      </c>
      <c r="AD15" s="75">
        <f>IF(AG15=12,I15,0)</f>
        <v>0</v>
      </c>
      <c r="AE15" s="75">
        <f>IF(AG15=21,I15,0)</f>
        <v>0</v>
      </c>
      <c r="AG15" s="75">
        <v>12</v>
      </c>
      <c r="AH15" s="75">
        <f>H15*1</f>
        <v>0</v>
      </c>
      <c r="AI15" s="75">
        <f>H15*(1-1)</f>
        <v>0</v>
      </c>
      <c r="AJ15" s="76" t="s">
        <v>43</v>
      </c>
      <c r="AO15" s="75">
        <f>ROUND(AP15+AQ15,2)</f>
        <v>0</v>
      </c>
      <c r="AP15" s="75">
        <f>ROUND(G15*AH15,2)</f>
        <v>0</v>
      </c>
      <c r="AQ15" s="75">
        <f>ROUND(G15*AI15,2)</f>
        <v>0</v>
      </c>
      <c r="AR15" s="76" t="s">
        <v>168</v>
      </c>
      <c r="AS15" s="76" t="s">
        <v>169</v>
      </c>
      <c r="AT15" s="64" t="s">
        <v>50</v>
      </c>
      <c r="AV15" s="75">
        <f>AP15+AQ15</f>
        <v>0</v>
      </c>
      <c r="AW15" s="75">
        <f>H15/(100-AX15)*100</f>
        <v>0</v>
      </c>
      <c r="AX15" s="75">
        <v>0</v>
      </c>
      <c r="AY15" s="75" t="e">
        <f>#REF!</f>
        <v>#REF!</v>
      </c>
      <c r="BA15" s="75">
        <f>G15*AH15</f>
        <v>0</v>
      </c>
      <c r="BB15" s="75">
        <f>G15*AI15</f>
        <v>0</v>
      </c>
      <c r="BC15" s="75">
        <f>G15*H15</f>
        <v>0</v>
      </c>
      <c r="BD15" s="75"/>
      <c r="BE15" s="75">
        <v>63</v>
      </c>
      <c r="BP15" s="75" t="e">
        <f>#REF!</f>
        <v>#REF!</v>
      </c>
      <c r="BQ15" s="77" t="s">
        <v>176</v>
      </c>
    </row>
    <row r="16" spans="1:69" x14ac:dyDescent="0.25">
      <c r="A16" s="70" t="s">
        <v>40</v>
      </c>
      <c r="B16" s="71" t="s">
        <v>40</v>
      </c>
      <c r="C16" s="71" t="s">
        <v>177</v>
      </c>
      <c r="D16" s="173" t="s">
        <v>178</v>
      </c>
      <c r="E16" s="174"/>
      <c r="F16" s="72" t="s">
        <v>3</v>
      </c>
      <c r="G16" s="72" t="s">
        <v>3</v>
      </c>
      <c r="H16" s="72" t="s">
        <v>3</v>
      </c>
      <c r="I16" s="58">
        <f>I17+I18</f>
        <v>0</v>
      </c>
      <c r="AB16" s="64" t="s">
        <v>40</v>
      </c>
      <c r="AL16" s="58">
        <f>SUM(AC17:AC17)</f>
        <v>0</v>
      </c>
      <c r="AM16" s="58">
        <f>SUM(AD17:AD17)</f>
        <v>0</v>
      </c>
      <c r="AN16" s="58">
        <f>SUM(AE17:AE17)</f>
        <v>0</v>
      </c>
    </row>
    <row r="17" spans="1:69" x14ac:dyDescent="0.25">
      <c r="A17" s="73" t="s">
        <v>58</v>
      </c>
      <c r="B17" s="74" t="s">
        <v>40</v>
      </c>
      <c r="C17" s="74" t="s">
        <v>179</v>
      </c>
      <c r="D17" s="171" t="s">
        <v>180</v>
      </c>
      <c r="E17" s="172"/>
      <c r="F17" s="74" t="s">
        <v>46</v>
      </c>
      <c r="G17" s="75">
        <v>169.49</v>
      </c>
      <c r="H17" s="75"/>
      <c r="I17" s="75">
        <f>ROUND(G17*H17,2)</f>
        <v>0</v>
      </c>
      <c r="S17" s="75">
        <f>ROUND(IF(AJ17="5",BC17,0),2)</f>
        <v>0</v>
      </c>
      <c r="U17" s="75">
        <f>ROUND(IF(AJ17="1",BA17,0),2)</f>
        <v>0</v>
      </c>
      <c r="V17" s="75">
        <f>ROUND(IF(AJ17="1",BB17,0),2)</f>
        <v>0</v>
      </c>
      <c r="W17" s="75">
        <f>ROUND(IF(AJ17="7",BA17,0),2)</f>
        <v>0</v>
      </c>
      <c r="X17" s="75">
        <f>ROUND(IF(AJ17="7",BB17,0),2)</f>
        <v>0</v>
      </c>
      <c r="Y17" s="75">
        <f>ROUND(IF(AJ17="2",BA17,0),2)</f>
        <v>0</v>
      </c>
      <c r="Z17" s="75">
        <f>ROUND(IF(AJ17="2",BB17,0),2)</f>
        <v>0</v>
      </c>
      <c r="AA17" s="75">
        <f>ROUND(IF(AJ17="0",BC17,0),2)</f>
        <v>0</v>
      </c>
      <c r="AB17" s="64" t="s">
        <v>40</v>
      </c>
      <c r="AC17" s="75">
        <f>IF(AG17=0,I17,0)</f>
        <v>0</v>
      </c>
      <c r="AD17" s="75">
        <f>IF(AG17=12,I17,0)</f>
        <v>0</v>
      </c>
      <c r="AE17" s="75">
        <f>IF(AG17=21,I17,0)</f>
        <v>0</v>
      </c>
      <c r="AG17" s="75">
        <v>12</v>
      </c>
      <c r="AH17" s="75">
        <f>H17*0</f>
        <v>0</v>
      </c>
      <c r="AI17" s="75">
        <f>H17*(1-0)</f>
        <v>0</v>
      </c>
      <c r="AJ17" s="76" t="s">
        <v>43</v>
      </c>
      <c r="AO17" s="75">
        <f>ROUND(AP17+AQ17,2)</f>
        <v>0</v>
      </c>
      <c r="AP17" s="75">
        <f>ROUND(G17*AH17,2)</f>
        <v>0</v>
      </c>
      <c r="AQ17" s="75">
        <f>ROUND(G17*AI17,2)</f>
        <v>0</v>
      </c>
      <c r="AR17" s="76" t="s">
        <v>181</v>
      </c>
      <c r="AS17" s="76" t="s">
        <v>182</v>
      </c>
      <c r="AT17" s="64" t="s">
        <v>50</v>
      </c>
      <c r="AV17" s="75">
        <f>AP17+AQ17</f>
        <v>0</v>
      </c>
      <c r="AW17" s="75">
        <f>H17/(100-AX17)*100</f>
        <v>0</v>
      </c>
      <c r="AX17" s="75">
        <v>0</v>
      </c>
      <c r="AY17" s="75" t="e">
        <f>#REF!</f>
        <v>#REF!</v>
      </c>
      <c r="BA17" s="75">
        <f>G17*AH17</f>
        <v>0</v>
      </c>
      <c r="BB17" s="75">
        <f>G17*AI17</f>
        <v>0</v>
      </c>
      <c r="BC17" s="75">
        <f>G17*H17</f>
        <v>0</v>
      </c>
      <c r="BD17" s="75"/>
      <c r="BE17" s="75">
        <v>95</v>
      </c>
      <c r="BP17" s="75" t="e">
        <f>#REF!</f>
        <v>#REF!</v>
      </c>
      <c r="BQ17" s="77" t="s">
        <v>183</v>
      </c>
    </row>
    <row r="18" spans="1:69" x14ac:dyDescent="0.25">
      <c r="A18" s="73">
        <v>5</v>
      </c>
      <c r="B18" s="74"/>
      <c r="C18" s="74">
        <v>900</v>
      </c>
      <c r="D18" s="77" t="s">
        <v>184</v>
      </c>
      <c r="E18" s="74"/>
      <c r="F18" s="74" t="s">
        <v>185</v>
      </c>
      <c r="G18" s="75">
        <v>32</v>
      </c>
      <c r="H18" s="75"/>
      <c r="I18" s="75">
        <f>ROUND(G18*H18,2)</f>
        <v>0</v>
      </c>
      <c r="S18" s="75"/>
      <c r="U18" s="75"/>
      <c r="V18" s="75"/>
      <c r="W18" s="75"/>
      <c r="X18" s="75"/>
      <c r="Y18" s="75"/>
      <c r="Z18" s="75"/>
      <c r="AA18" s="75"/>
      <c r="AB18" s="64"/>
      <c r="AC18" s="75"/>
      <c r="AD18" s="75"/>
      <c r="AE18" s="75"/>
      <c r="AG18" s="75"/>
      <c r="AH18" s="75"/>
      <c r="AI18" s="75"/>
      <c r="AJ18" s="76"/>
      <c r="AO18" s="75"/>
      <c r="AP18" s="75"/>
      <c r="AQ18" s="75"/>
      <c r="AR18" s="76"/>
      <c r="AS18" s="76"/>
      <c r="AT18" s="64"/>
      <c r="AV18" s="75"/>
      <c r="AW18" s="75"/>
      <c r="AX18" s="75"/>
      <c r="AY18" s="75"/>
      <c r="BA18" s="75"/>
      <c r="BB18" s="75"/>
      <c r="BC18" s="75">
        <f>G18*H18</f>
        <v>0</v>
      </c>
      <c r="BD18" s="75"/>
      <c r="BE18" s="75"/>
      <c r="BP18" s="75"/>
      <c r="BQ18" s="77"/>
    </row>
    <row r="19" spans="1:69" x14ac:dyDescent="0.25">
      <c r="A19" s="70" t="s">
        <v>40</v>
      </c>
      <c r="B19" s="71" t="s">
        <v>40</v>
      </c>
      <c r="C19" s="71" t="s">
        <v>186</v>
      </c>
      <c r="D19" s="173" t="s">
        <v>187</v>
      </c>
      <c r="E19" s="174"/>
      <c r="F19" s="72" t="s">
        <v>3</v>
      </c>
      <c r="G19" s="72" t="s">
        <v>3</v>
      </c>
      <c r="H19" s="72" t="s">
        <v>3</v>
      </c>
      <c r="I19" s="58">
        <f>I20+I21</f>
        <v>0</v>
      </c>
      <c r="AB19" s="64" t="s">
        <v>40</v>
      </c>
      <c r="AL19" s="58">
        <f>SUM(AC21:AC21)</f>
        <v>0</v>
      </c>
      <c r="AM19" s="58">
        <f>SUM(AD21:AD21)</f>
        <v>0</v>
      </c>
      <c r="AN19" s="58">
        <f>SUM(AE21:AE21)</f>
        <v>0</v>
      </c>
    </row>
    <row r="20" spans="1:69" x14ac:dyDescent="0.25">
      <c r="A20" s="96">
        <v>6</v>
      </c>
      <c r="B20" s="97"/>
      <c r="C20" s="55" t="s">
        <v>87</v>
      </c>
      <c r="D20" s="100" t="s">
        <v>88</v>
      </c>
      <c r="E20" s="101"/>
      <c r="F20" s="55" t="s">
        <v>192</v>
      </c>
      <c r="G20" s="20">
        <v>1</v>
      </c>
      <c r="H20" s="20"/>
      <c r="I20" s="20">
        <f t="shared" ref="I20" si="0">ROUND(G20*H20,2)</f>
        <v>0</v>
      </c>
      <c r="AB20" s="64"/>
      <c r="AL20" s="58"/>
      <c r="AM20" s="58"/>
      <c r="AN20" s="58"/>
    </row>
    <row r="21" spans="1:69" x14ac:dyDescent="0.25">
      <c r="A21" s="78">
        <v>7</v>
      </c>
      <c r="B21" s="79" t="s">
        <v>40</v>
      </c>
      <c r="C21" s="79" t="s">
        <v>188</v>
      </c>
      <c r="D21" s="175" t="s">
        <v>189</v>
      </c>
      <c r="E21" s="176"/>
      <c r="F21" s="79" t="s">
        <v>190</v>
      </c>
      <c r="G21" s="80">
        <v>22.479500000000002</v>
      </c>
      <c r="H21" s="80"/>
      <c r="I21" s="80">
        <f>ROUND(G21*H21,2)</f>
        <v>0</v>
      </c>
      <c r="S21" s="75">
        <f>ROUND(IF(AJ21="5",BC21,0),2)</f>
        <v>0</v>
      </c>
      <c r="U21" s="75">
        <f>ROUND(IF(AJ21="1",BA21,0),2)</f>
        <v>0</v>
      </c>
      <c r="V21" s="75">
        <f>ROUND(IF(AJ21="1",BB21,0),2)</f>
        <v>0</v>
      </c>
      <c r="W21" s="75">
        <f>ROUND(IF(AJ21="7",BA21,0),2)</f>
        <v>0</v>
      </c>
      <c r="X21" s="75">
        <f>ROUND(IF(AJ21="7",BB21,0),2)</f>
        <v>0</v>
      </c>
      <c r="Y21" s="75">
        <f>ROUND(IF(AJ21="2",BA21,0),2)</f>
        <v>0</v>
      </c>
      <c r="Z21" s="75">
        <f>ROUND(IF(AJ21="2",BB21,0),2)</f>
        <v>0</v>
      </c>
      <c r="AA21" s="75">
        <f>ROUND(IF(AJ21="0",BC21,0),2)</f>
        <v>0</v>
      </c>
      <c r="AB21" s="64" t="s">
        <v>40</v>
      </c>
      <c r="AC21" s="75">
        <f>IF(AG21=0,I21,0)</f>
        <v>0</v>
      </c>
      <c r="AD21" s="75">
        <f>IF(AG21=12,I21,0)</f>
        <v>0</v>
      </c>
      <c r="AE21" s="75">
        <f>IF(AG21=21,I21,0)</f>
        <v>0</v>
      </c>
      <c r="AG21" s="75">
        <v>12</v>
      </c>
      <c r="AH21" s="75">
        <f>H21*0</f>
        <v>0</v>
      </c>
      <c r="AI21" s="75">
        <f>H21*(1-0)</f>
        <v>0</v>
      </c>
      <c r="AJ21" s="76" t="s">
        <v>61</v>
      </c>
      <c r="AO21" s="75">
        <f>ROUND(AP21+AQ21,2)</f>
        <v>0</v>
      </c>
      <c r="AP21" s="75">
        <f>ROUND(G21*AH21,2)</f>
        <v>0</v>
      </c>
      <c r="AQ21" s="75">
        <f>ROUND(G21*AI21,2)</f>
        <v>0</v>
      </c>
      <c r="AR21" s="76" t="s">
        <v>191</v>
      </c>
      <c r="AS21" s="76" t="s">
        <v>182</v>
      </c>
      <c r="AT21" s="64" t="s">
        <v>50</v>
      </c>
      <c r="AV21" s="75">
        <f>AP21+AQ21</f>
        <v>0</v>
      </c>
      <c r="AW21" s="75">
        <f>H21/(100-AX21)*100</f>
        <v>0</v>
      </c>
      <c r="AX21" s="75">
        <v>0</v>
      </c>
      <c r="AY21" s="75" t="e">
        <f>#REF!</f>
        <v>#REF!</v>
      </c>
      <c r="BA21" s="75">
        <f>G21*AH21</f>
        <v>0</v>
      </c>
      <c r="BB21" s="75">
        <f>G21*AI21</f>
        <v>0</v>
      </c>
      <c r="BC21" s="75">
        <f>G21*H21</f>
        <v>0</v>
      </c>
      <c r="BD21" s="75"/>
      <c r="BE21" s="75"/>
      <c r="BP21" s="75" t="e">
        <f>#REF!</f>
        <v>#REF!</v>
      </c>
      <c r="BQ21" s="77" t="s">
        <v>189</v>
      </c>
    </row>
    <row r="22" spans="1:69" x14ac:dyDescent="0.25">
      <c r="I22" s="81">
        <f>ROUND(I12+I16+I19,2)</f>
        <v>0</v>
      </c>
    </row>
    <row r="23" spans="1:69" x14ac:dyDescent="0.25">
      <c r="A23" s="82" t="s">
        <v>104</v>
      </c>
      <c r="D23" t="s">
        <v>194</v>
      </c>
    </row>
    <row r="24" spans="1:69" ht="12.75" customHeight="1" x14ac:dyDescent="0.25">
      <c r="A24" s="171" t="s">
        <v>40</v>
      </c>
      <c r="B24" s="172"/>
      <c r="C24" s="172"/>
      <c r="D24" s="172"/>
      <c r="E24" s="172"/>
      <c r="F24" s="172"/>
      <c r="G24" s="172"/>
      <c r="H24" s="172"/>
      <c r="I24" s="172"/>
    </row>
  </sheetData>
  <mergeCells count="33">
    <mergeCell ref="A1:I1"/>
    <mergeCell ref="A2:C3"/>
    <mergeCell ref="D2:E3"/>
    <mergeCell ref="F2:G3"/>
    <mergeCell ref="H2:H3"/>
    <mergeCell ref="I2:I3"/>
    <mergeCell ref="I4:I5"/>
    <mergeCell ref="A6:C7"/>
    <mergeCell ref="D6:E7"/>
    <mergeCell ref="F6:G7"/>
    <mergeCell ref="H6:H7"/>
    <mergeCell ref="I6:I7"/>
    <mergeCell ref="A4:C5"/>
    <mergeCell ref="D4:E5"/>
    <mergeCell ref="F4:G5"/>
    <mergeCell ref="H4:H5"/>
    <mergeCell ref="A8:C9"/>
    <mergeCell ref="D8:E9"/>
    <mergeCell ref="F8:G9"/>
    <mergeCell ref="H8:H9"/>
    <mergeCell ref="I8:I9"/>
    <mergeCell ref="D10:E10"/>
    <mergeCell ref="D17:E17"/>
    <mergeCell ref="D19:E19"/>
    <mergeCell ref="D21:E21"/>
    <mergeCell ref="A24:I24"/>
    <mergeCell ref="D11:E11"/>
    <mergeCell ref="D12:E12"/>
    <mergeCell ref="D13:E13"/>
    <mergeCell ref="D14:E14"/>
    <mergeCell ref="D15:E15"/>
    <mergeCell ref="D16:E16"/>
    <mergeCell ref="D20:E20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6"/>
  <sheetViews>
    <sheetView workbookViewId="0">
      <selection activeCell="A36" sqref="A36:E36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41" t="s">
        <v>151</v>
      </c>
      <c r="B1" s="142"/>
      <c r="C1" s="142"/>
      <c r="D1" s="142"/>
      <c r="E1" s="142"/>
      <c r="F1" s="142"/>
      <c r="G1" s="142"/>
      <c r="H1" s="142"/>
      <c r="I1" s="142"/>
    </row>
    <row r="2" spans="1:9" x14ac:dyDescent="0.25">
      <c r="A2" s="143" t="s">
        <v>1</v>
      </c>
      <c r="B2" s="144"/>
      <c r="C2" s="149" t="str">
        <f>'Stavební rozpočet-fólie'!D2</f>
        <v>Terasa - Zelený dům pohody Hodonín</v>
      </c>
      <c r="D2" s="150"/>
      <c r="E2" s="140" t="s">
        <v>4</v>
      </c>
      <c r="F2" s="140" t="e">
        <f>'Stavební rozpočet-fólie'!#REF!</f>
        <v>#REF!</v>
      </c>
      <c r="G2" s="144"/>
      <c r="H2" s="140" t="s">
        <v>108</v>
      </c>
      <c r="I2" s="146" t="s">
        <v>40</v>
      </c>
    </row>
    <row r="3" spans="1:9" ht="15" customHeight="1" x14ac:dyDescent="0.25">
      <c r="A3" s="145"/>
      <c r="B3" s="101"/>
      <c r="C3" s="151"/>
      <c r="D3" s="151"/>
      <c r="E3" s="101"/>
      <c r="F3" s="101"/>
      <c r="G3" s="101"/>
      <c r="H3" s="101"/>
      <c r="I3" s="147"/>
    </row>
    <row r="4" spans="1:9" x14ac:dyDescent="0.25">
      <c r="A4" s="138" t="s">
        <v>5</v>
      </c>
      <c r="B4" s="101"/>
      <c r="C4" s="100" t="str">
        <f>'Stavební rozpočet-fólie'!D4</f>
        <v xml:space="preserve"> </v>
      </c>
      <c r="D4" s="101"/>
      <c r="E4" s="100" t="s">
        <v>7</v>
      </c>
      <c r="F4" s="100" t="e">
        <f>'Stavební rozpočet-fólie'!#REF!</f>
        <v>#REF!</v>
      </c>
      <c r="G4" s="101"/>
      <c r="H4" s="100" t="s">
        <v>108</v>
      </c>
      <c r="I4" s="147" t="s">
        <v>40</v>
      </c>
    </row>
    <row r="5" spans="1:9" ht="15" customHeight="1" x14ac:dyDescent="0.25">
      <c r="A5" s="145"/>
      <c r="B5" s="101"/>
      <c r="C5" s="101"/>
      <c r="D5" s="101"/>
      <c r="E5" s="101"/>
      <c r="F5" s="101"/>
      <c r="G5" s="101"/>
      <c r="H5" s="101"/>
      <c r="I5" s="147"/>
    </row>
    <row r="6" spans="1:9" x14ac:dyDescent="0.25">
      <c r="A6" s="138" t="s">
        <v>8</v>
      </c>
      <c r="B6" s="101"/>
      <c r="C6" s="100" t="str">
        <f>'Stavební rozpočet-fólie'!D6</f>
        <v xml:space="preserve"> </v>
      </c>
      <c r="D6" s="101"/>
      <c r="E6" s="100" t="s">
        <v>10</v>
      </c>
      <c r="F6" s="100" t="e">
        <f>'Stavební rozpočet-fólie'!#REF!</f>
        <v>#REF!</v>
      </c>
      <c r="G6" s="101"/>
      <c r="H6" s="100" t="s">
        <v>108</v>
      </c>
      <c r="I6" s="147" t="s">
        <v>40</v>
      </c>
    </row>
    <row r="7" spans="1:9" ht="15" customHeight="1" x14ac:dyDescent="0.25">
      <c r="A7" s="145"/>
      <c r="B7" s="101"/>
      <c r="C7" s="101"/>
      <c r="D7" s="101"/>
      <c r="E7" s="101"/>
      <c r="F7" s="101"/>
      <c r="G7" s="101"/>
      <c r="H7" s="101"/>
      <c r="I7" s="147"/>
    </row>
    <row r="8" spans="1:9" x14ac:dyDescent="0.25">
      <c r="A8" s="138" t="s">
        <v>6</v>
      </c>
      <c r="B8" s="101"/>
      <c r="C8" s="100">
        <f>'Stavební rozpočet-fólie'!H4</f>
        <v>0</v>
      </c>
      <c r="D8" s="101"/>
      <c r="E8" s="100" t="s">
        <v>9</v>
      </c>
      <c r="F8" s="100" t="str">
        <f>'Stavební rozpočet-fólie'!H6</f>
        <v xml:space="preserve"> </v>
      </c>
      <c r="G8" s="101"/>
      <c r="H8" s="101" t="s">
        <v>109</v>
      </c>
      <c r="I8" s="148">
        <v>18</v>
      </c>
    </row>
    <row r="9" spans="1:9" x14ac:dyDescent="0.25">
      <c r="A9" s="145"/>
      <c r="B9" s="101"/>
      <c r="C9" s="101"/>
      <c r="D9" s="101"/>
      <c r="E9" s="101"/>
      <c r="F9" s="101"/>
      <c r="G9" s="101"/>
      <c r="H9" s="101"/>
      <c r="I9" s="147"/>
    </row>
    <row r="10" spans="1:9" x14ac:dyDescent="0.25">
      <c r="A10" s="138" t="s">
        <v>11</v>
      </c>
      <c r="B10" s="101"/>
      <c r="C10" s="100" t="str">
        <f>'Stavební rozpočet-fólie'!D8</f>
        <v xml:space="preserve"> </v>
      </c>
      <c r="D10" s="101"/>
      <c r="E10" s="100" t="s">
        <v>13</v>
      </c>
      <c r="F10" s="100" t="e">
        <f>'Stavební rozpočet-fólie'!#REF!</f>
        <v>#REF!</v>
      </c>
      <c r="G10" s="101"/>
      <c r="H10" s="101" t="s">
        <v>110</v>
      </c>
      <c r="I10" s="132">
        <f>'Stavební rozpočet-fólie'!H8</f>
        <v>0</v>
      </c>
    </row>
    <row r="11" spans="1:9" x14ac:dyDescent="0.25">
      <c r="A11" s="139"/>
      <c r="B11" s="137"/>
      <c r="C11" s="137"/>
      <c r="D11" s="137"/>
      <c r="E11" s="137"/>
      <c r="F11" s="137"/>
      <c r="G11" s="137"/>
      <c r="H11" s="137"/>
      <c r="I11" s="133"/>
    </row>
    <row r="13" spans="1:9" ht="15.75" x14ac:dyDescent="0.25">
      <c r="A13" s="196" t="s">
        <v>152</v>
      </c>
      <c r="B13" s="196"/>
      <c r="C13" s="196"/>
      <c r="D13" s="196"/>
      <c r="E13" s="196"/>
    </row>
    <row r="14" spans="1:9" x14ac:dyDescent="0.25">
      <c r="A14" s="197" t="s">
        <v>153</v>
      </c>
      <c r="B14" s="198"/>
      <c r="C14" s="198"/>
      <c r="D14" s="198"/>
      <c r="E14" s="199"/>
      <c r="F14" s="47" t="s">
        <v>154</v>
      </c>
      <c r="G14" s="47" t="s">
        <v>155</v>
      </c>
      <c r="H14" s="47" t="s">
        <v>156</v>
      </c>
      <c r="I14" s="47" t="s">
        <v>154</v>
      </c>
    </row>
    <row r="15" spans="1:9" x14ac:dyDescent="0.25">
      <c r="A15" s="202" t="s">
        <v>120</v>
      </c>
      <c r="B15" s="203"/>
      <c r="C15" s="203"/>
      <c r="D15" s="203"/>
      <c r="E15" s="204"/>
      <c r="F15" s="48">
        <v>0</v>
      </c>
      <c r="G15" s="49" t="s">
        <v>40</v>
      </c>
      <c r="H15" s="49" t="s">
        <v>40</v>
      </c>
      <c r="I15" s="48">
        <f>F15</f>
        <v>0</v>
      </c>
    </row>
    <row r="16" spans="1:9" x14ac:dyDescent="0.25">
      <c r="A16" s="202" t="s">
        <v>122</v>
      </c>
      <c r="B16" s="203"/>
      <c r="C16" s="203"/>
      <c r="D16" s="203"/>
      <c r="E16" s="204"/>
      <c r="F16" s="48">
        <v>0</v>
      </c>
      <c r="G16" s="49" t="s">
        <v>40</v>
      </c>
      <c r="H16" s="49" t="s">
        <v>40</v>
      </c>
      <c r="I16" s="48">
        <f>F16</f>
        <v>0</v>
      </c>
    </row>
    <row r="17" spans="1:9" x14ac:dyDescent="0.25">
      <c r="A17" s="200" t="s">
        <v>125</v>
      </c>
      <c r="B17" s="154"/>
      <c r="C17" s="154"/>
      <c r="D17" s="154"/>
      <c r="E17" s="201"/>
      <c r="F17" s="50">
        <v>0</v>
      </c>
      <c r="G17" s="51" t="s">
        <v>40</v>
      </c>
      <c r="H17" s="51" t="s">
        <v>40</v>
      </c>
      <c r="I17" s="50">
        <f>F17</f>
        <v>0</v>
      </c>
    </row>
    <row r="18" spans="1:9" x14ac:dyDescent="0.25">
      <c r="A18" s="187" t="s">
        <v>157</v>
      </c>
      <c r="B18" s="188"/>
      <c r="C18" s="188"/>
      <c r="D18" s="188"/>
      <c r="E18" s="189"/>
      <c r="F18" s="52" t="s">
        <v>40</v>
      </c>
      <c r="G18" s="53" t="s">
        <v>40</v>
      </c>
      <c r="H18" s="53" t="s">
        <v>40</v>
      </c>
      <c r="I18" s="54">
        <f>SUM(I15:I17)</f>
        <v>0</v>
      </c>
    </row>
    <row r="20" spans="1:9" x14ac:dyDescent="0.25">
      <c r="A20" s="197" t="s">
        <v>117</v>
      </c>
      <c r="B20" s="198"/>
      <c r="C20" s="198"/>
      <c r="D20" s="198"/>
      <c r="E20" s="199"/>
      <c r="F20" s="47" t="s">
        <v>154</v>
      </c>
      <c r="G20" s="47" t="s">
        <v>155</v>
      </c>
      <c r="H20" s="47" t="s">
        <v>156</v>
      </c>
      <c r="I20" s="47" t="s">
        <v>154</v>
      </c>
    </row>
    <row r="21" spans="1:9" x14ac:dyDescent="0.25">
      <c r="A21" s="202" t="s">
        <v>121</v>
      </c>
      <c r="B21" s="203"/>
      <c r="C21" s="203"/>
      <c r="D21" s="203"/>
      <c r="E21" s="204"/>
      <c r="F21" s="48">
        <v>0</v>
      </c>
      <c r="G21" s="49" t="s">
        <v>40</v>
      </c>
      <c r="H21" s="49" t="s">
        <v>40</v>
      </c>
      <c r="I21" s="48">
        <f t="shared" ref="I21:I26" si="0">F21</f>
        <v>0</v>
      </c>
    </row>
    <row r="22" spans="1:9" x14ac:dyDescent="0.25">
      <c r="A22" s="202" t="s">
        <v>123</v>
      </c>
      <c r="B22" s="203"/>
      <c r="C22" s="203"/>
      <c r="D22" s="203"/>
      <c r="E22" s="204"/>
      <c r="F22" s="48">
        <v>0</v>
      </c>
      <c r="G22" s="49" t="s">
        <v>40</v>
      </c>
      <c r="H22" s="49" t="s">
        <v>40</v>
      </c>
      <c r="I22" s="48">
        <f t="shared" si="0"/>
        <v>0</v>
      </c>
    </row>
    <row r="23" spans="1:9" x14ac:dyDescent="0.25">
      <c r="A23" s="202" t="s">
        <v>126</v>
      </c>
      <c r="B23" s="203"/>
      <c r="C23" s="203"/>
      <c r="D23" s="203"/>
      <c r="E23" s="204"/>
      <c r="F23" s="48">
        <v>0</v>
      </c>
      <c r="G23" s="49" t="s">
        <v>40</v>
      </c>
      <c r="H23" s="49" t="s">
        <v>40</v>
      </c>
      <c r="I23" s="48">
        <f t="shared" si="0"/>
        <v>0</v>
      </c>
    </row>
    <row r="24" spans="1:9" x14ac:dyDescent="0.25">
      <c r="A24" s="202" t="s">
        <v>127</v>
      </c>
      <c r="B24" s="203"/>
      <c r="C24" s="203"/>
      <c r="D24" s="203"/>
      <c r="E24" s="204"/>
      <c r="F24" s="48">
        <v>0</v>
      </c>
      <c r="G24" s="49" t="s">
        <v>40</v>
      </c>
      <c r="H24" s="49" t="s">
        <v>40</v>
      </c>
      <c r="I24" s="48">
        <f t="shared" si="0"/>
        <v>0</v>
      </c>
    </row>
    <row r="25" spans="1:9" x14ac:dyDescent="0.25">
      <c r="A25" s="202" t="s">
        <v>129</v>
      </c>
      <c r="B25" s="203"/>
      <c r="C25" s="203"/>
      <c r="D25" s="203"/>
      <c r="E25" s="204"/>
      <c r="F25" s="48">
        <v>0</v>
      </c>
      <c r="G25" s="49" t="s">
        <v>40</v>
      </c>
      <c r="H25" s="49" t="s">
        <v>40</v>
      </c>
      <c r="I25" s="48">
        <f t="shared" si="0"/>
        <v>0</v>
      </c>
    </row>
    <row r="26" spans="1:9" x14ac:dyDescent="0.25">
      <c r="A26" s="200" t="s">
        <v>130</v>
      </c>
      <c r="B26" s="154"/>
      <c r="C26" s="154"/>
      <c r="D26" s="154"/>
      <c r="E26" s="201"/>
      <c r="F26" s="50">
        <v>0</v>
      </c>
      <c r="G26" s="51" t="s">
        <v>40</v>
      </c>
      <c r="H26" s="51" t="s">
        <v>40</v>
      </c>
      <c r="I26" s="50">
        <f t="shared" si="0"/>
        <v>0</v>
      </c>
    </row>
    <row r="27" spans="1:9" x14ac:dyDescent="0.25">
      <c r="A27" s="187" t="s">
        <v>158</v>
      </c>
      <c r="B27" s="188"/>
      <c r="C27" s="188"/>
      <c r="D27" s="188"/>
      <c r="E27" s="189"/>
      <c r="F27" s="52" t="s">
        <v>40</v>
      </c>
      <c r="G27" s="53" t="s">
        <v>40</v>
      </c>
      <c r="H27" s="53" t="s">
        <v>40</v>
      </c>
      <c r="I27" s="54">
        <f>SUM(I21:I26)</f>
        <v>0</v>
      </c>
    </row>
    <row r="29" spans="1:9" ht="15.75" x14ac:dyDescent="0.25">
      <c r="A29" s="190" t="s">
        <v>159</v>
      </c>
      <c r="B29" s="191"/>
      <c r="C29" s="191"/>
      <c r="D29" s="191"/>
      <c r="E29" s="192"/>
      <c r="F29" s="193">
        <f>I18+I27</f>
        <v>0</v>
      </c>
      <c r="G29" s="194"/>
      <c r="H29" s="194"/>
      <c r="I29" s="195"/>
    </row>
    <row r="33" spans="1:9" ht="15.75" x14ac:dyDescent="0.25">
      <c r="A33" s="196" t="s">
        <v>160</v>
      </c>
      <c r="B33" s="196"/>
      <c r="C33" s="196"/>
      <c r="D33" s="196"/>
      <c r="E33" s="196"/>
    </row>
    <row r="34" spans="1:9" x14ac:dyDescent="0.25">
      <c r="A34" s="197" t="s">
        <v>161</v>
      </c>
      <c r="B34" s="198"/>
      <c r="C34" s="198"/>
      <c r="D34" s="198"/>
      <c r="E34" s="199"/>
      <c r="F34" s="47" t="s">
        <v>154</v>
      </c>
      <c r="G34" s="47" t="s">
        <v>155</v>
      </c>
      <c r="H34" s="47" t="s">
        <v>156</v>
      </c>
      <c r="I34" s="47" t="s">
        <v>154</v>
      </c>
    </row>
    <row r="35" spans="1:9" x14ac:dyDescent="0.25">
      <c r="A35" s="200" t="s">
        <v>40</v>
      </c>
      <c r="B35" s="154"/>
      <c r="C35" s="154"/>
      <c r="D35" s="154"/>
      <c r="E35" s="201"/>
      <c r="F35" s="50">
        <v>0</v>
      </c>
      <c r="G35" s="51" t="s">
        <v>40</v>
      </c>
      <c r="H35" s="51" t="s">
        <v>40</v>
      </c>
      <c r="I35" s="50">
        <f>F35</f>
        <v>0</v>
      </c>
    </row>
    <row r="36" spans="1:9" x14ac:dyDescent="0.25">
      <c r="A36" s="187" t="s">
        <v>162</v>
      </c>
      <c r="B36" s="188"/>
      <c r="C36" s="188"/>
      <c r="D36" s="188"/>
      <c r="E36" s="189"/>
      <c r="F36" s="52" t="s">
        <v>40</v>
      </c>
      <c r="G36" s="53" t="s">
        <v>40</v>
      </c>
      <c r="H36" s="53" t="s">
        <v>40</v>
      </c>
      <c r="I36" s="54">
        <f>SUM(I35:I35)</f>
        <v>0</v>
      </c>
    </row>
  </sheetData>
  <mergeCells count="51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36:E36"/>
    <mergeCell ref="A29:E29"/>
    <mergeCell ref="F29:I29"/>
    <mergeCell ref="A33:E33"/>
    <mergeCell ref="A34:E34"/>
    <mergeCell ref="A35:E35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Krycí list rozpočtu</vt:lpstr>
      <vt:lpstr>Rozpočet - Jen podskupiny</vt:lpstr>
      <vt:lpstr>Stavební rozpočet-fólie</vt:lpstr>
      <vt:lpstr>Stavební rozpočet dlažby</vt:lpstr>
      <vt:lpstr>VORN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Ekonom</cp:lastModifiedBy>
  <dcterms:created xsi:type="dcterms:W3CDTF">2021-06-10T20:06:38Z</dcterms:created>
  <dcterms:modified xsi:type="dcterms:W3CDTF">2025-08-18T08:37:41Z</dcterms:modified>
</cp:coreProperties>
</file>